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is.soms\Downloads\"/>
    </mc:Choice>
  </mc:AlternateContent>
  <xr:revisionPtr revIDLastSave="0" documentId="8_{69BF4A82-37BB-4887-8270-92D0760F5DEE}" xr6:coauthVersionLast="47" xr6:coauthVersionMax="47" xr10:uidLastSave="{00000000-0000-0000-0000-000000000000}"/>
  <bookViews>
    <workbookView xWindow="-120" yWindow="-120" windowWidth="29040" windowHeight="15720" tabRatio="914" firstSheet="19" activeTab="19" xr2:uid="{8F458E86-A607-4F4F-8BC5-B15B99FA446A}"/>
  </bookViews>
  <sheets>
    <sheet name="24._aprēķins" sheetId="132" state="hidden" r:id="rId1"/>
    <sheet name="1.1.-1.4._21.Dati_LDT" sheetId="99" state="hidden" r:id="rId2"/>
    <sheet name="2.1.-2.2. Izmaksas_Autostavl." sheetId="3" state="hidden" r:id="rId3"/>
    <sheet name="2.1.-2.2. Proporcijas aprēķins" sheetId="8" state="hidden" r:id="rId4"/>
    <sheet name="3. Tirdzn.v.atlauja-izmaksas" sheetId="13" state="hidden" r:id="rId5"/>
    <sheet name="4. Bites-izmaksas" sheetId="15" state="hidden" r:id="rId6"/>
    <sheet name="7.1. Telpas_izmaksas_PRA" sheetId="18" state="hidden" r:id="rId7"/>
    <sheet name="7.2._Telpas_izmaksas_VRA" sheetId="82" state="hidden" r:id="rId8"/>
    <sheet name="7.3.Telpas_izmaksas_LRA" sheetId="83" state="hidden" r:id="rId9"/>
    <sheet name="7.4.Telpas_izmaksas_Sigulda" sheetId="84" state="hidden" r:id="rId10"/>
    <sheet name="14.1.-14.3.apreķini" sheetId="75" state="hidden" r:id="rId11"/>
    <sheet name="9.1.-9.4.DIC_izmaksas" sheetId="28" state="hidden" r:id="rId12"/>
    <sheet name="10.-11.Eksperta_izmaksas" sheetId="91" state="hidden" r:id="rId13"/>
    <sheet name="12.ĪPN_liguma_izmaksas" sheetId="35" state="hidden" r:id="rId14"/>
    <sheet name="13.Aprēķini_elektrouzlādei" sheetId="81" state="hidden" r:id="rId15"/>
    <sheet name="14.1.-14.3.proporcija" sheetId="72" state="hidden" r:id="rId16"/>
    <sheet name="2.3._LDT_Kemperis izmaksas" sheetId="10" state="hidden" r:id="rId17"/>
    <sheet name="15.Aprēķini" sheetId="96" state="hidden" r:id="rId18"/>
    <sheet name="5.3. Telpas Ļaudona-izmaksas" sheetId="24" state="hidden" r:id="rId19"/>
    <sheet name="20." sheetId="122" r:id="rId20"/>
    <sheet name="18.-20.Aprēķini" sheetId="123" state="hidden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132" l="1"/>
  <c r="E9" i="132"/>
  <c r="F9" i="132"/>
  <c r="D9" i="132"/>
  <c r="J19" i="123" l="1"/>
  <c r="G19" i="123"/>
  <c r="H19" i="123" s="1"/>
  <c r="I19" i="123" s="1"/>
  <c r="K19" i="123" l="1"/>
  <c r="M19" i="123" s="1"/>
  <c r="G5" i="123" l="1"/>
  <c r="I5" i="123" s="1"/>
  <c r="K5" i="123" s="1"/>
  <c r="G4" i="123"/>
  <c r="I4" i="123" l="1"/>
  <c r="K4" i="123" s="1"/>
  <c r="M4" i="123" s="1"/>
  <c r="G10" i="123"/>
  <c r="H10" i="123" s="1"/>
  <c r="C13" i="122"/>
  <c r="C16" i="122" s="1"/>
  <c r="C19" i="122" s="1"/>
  <c r="C23" i="122" l="1"/>
  <c r="C21" i="122"/>
  <c r="I10" i="123"/>
  <c r="K10" i="123" s="1"/>
  <c r="M10" i="123" s="1"/>
  <c r="F5" i="72" l="1"/>
  <c r="F8" i="72"/>
  <c r="F6" i="72"/>
  <c r="E7" i="72"/>
  <c r="F7" i="72" s="1"/>
  <c r="G7" i="72" s="1"/>
  <c r="E6" i="72"/>
  <c r="E5" i="72"/>
  <c r="C4" i="72"/>
  <c r="I7" i="75"/>
  <c r="I10" i="75"/>
  <c r="E12" i="91"/>
  <c r="F12" i="91" s="1"/>
  <c r="H12" i="91" s="1"/>
  <c r="E11" i="91"/>
  <c r="F11" i="91" s="1"/>
  <c r="H11" i="91" s="1"/>
  <c r="E9" i="91"/>
  <c r="F9" i="91"/>
  <c r="H9" i="91" s="1"/>
  <c r="G61" i="18"/>
  <c r="H61" i="18" s="1"/>
  <c r="J61" i="18" s="1"/>
  <c r="G60" i="18"/>
  <c r="H60" i="18" s="1"/>
  <c r="J60" i="18" s="1"/>
  <c r="H59" i="18"/>
  <c r="J59" i="18" s="1"/>
  <c r="G59" i="18"/>
  <c r="G58" i="18"/>
  <c r="H58" i="18" s="1"/>
  <c r="J58" i="18" s="1"/>
  <c r="H57" i="18"/>
  <c r="J57" i="18" s="1"/>
  <c r="G57" i="18"/>
  <c r="G56" i="18"/>
  <c r="H56" i="18" s="1"/>
  <c r="J56" i="18" s="1"/>
  <c r="H51" i="18"/>
  <c r="J51" i="18" s="1"/>
  <c r="G51" i="18"/>
  <c r="G50" i="18"/>
  <c r="H50" i="18" s="1"/>
  <c r="J50" i="18" s="1"/>
  <c r="G49" i="18"/>
  <c r="H49" i="18" s="1"/>
  <c r="J49" i="18" s="1"/>
  <c r="J48" i="18"/>
  <c r="H48" i="18"/>
  <c r="G48" i="18"/>
  <c r="G47" i="18"/>
  <c r="H47" i="18" s="1"/>
  <c r="J47" i="18" s="1"/>
  <c r="H46" i="18"/>
  <c r="J46" i="18" s="1"/>
  <c r="G46" i="18"/>
  <c r="G40" i="18"/>
  <c r="H40" i="18" s="1"/>
  <c r="J40" i="18" s="1"/>
  <c r="G39" i="18"/>
  <c r="H39" i="18" s="1"/>
  <c r="J39" i="18" s="1"/>
  <c r="G38" i="18"/>
  <c r="H38" i="18" s="1"/>
  <c r="J38" i="18" s="1"/>
  <c r="H37" i="18"/>
  <c r="J37" i="18" s="1"/>
  <c r="G37" i="18"/>
  <c r="G36" i="18"/>
  <c r="H36" i="18" s="1"/>
  <c r="J36" i="18" s="1"/>
  <c r="G35" i="18"/>
  <c r="H35" i="18" s="1"/>
  <c r="J35" i="18" s="1"/>
  <c r="J26" i="18"/>
  <c r="G30" i="18"/>
  <c r="H30" i="18" s="1"/>
  <c r="J30" i="18" s="1"/>
  <c r="G29" i="18"/>
  <c r="H29" i="18" s="1"/>
  <c r="J29" i="18" s="1"/>
  <c r="G28" i="18"/>
  <c r="H28" i="18" s="1"/>
  <c r="J28" i="18" s="1"/>
  <c r="G27" i="18"/>
  <c r="H27" i="18" s="1"/>
  <c r="J27" i="18" s="1"/>
  <c r="G26" i="18"/>
  <c r="H26" i="18" s="1"/>
  <c r="G25" i="18"/>
  <c r="H25" i="18" s="1"/>
  <c r="J25" i="18" s="1"/>
  <c r="T16" i="18"/>
  <c r="S8" i="18"/>
  <c r="S10" i="18"/>
  <c r="S13" i="18"/>
  <c r="R16" i="18"/>
  <c r="R17" i="18" s="1"/>
  <c r="R18" i="18" s="1"/>
  <c r="D15" i="18"/>
  <c r="P16" i="18"/>
  <c r="P17" i="18" s="1"/>
  <c r="N16" i="18"/>
  <c r="N17" i="18" s="1"/>
  <c r="L16" i="18"/>
  <c r="L17" i="18" s="1"/>
  <c r="J16" i="18"/>
  <c r="J17" i="18" s="1"/>
  <c r="E14" i="18"/>
  <c r="F14" i="18" s="1"/>
  <c r="G14" i="18" s="1"/>
  <c r="I14" i="18" s="1"/>
  <c r="S14" i="18" s="1"/>
  <c r="E13" i="18"/>
  <c r="F13" i="18" s="1"/>
  <c r="G13" i="18" s="1"/>
  <c r="I13" i="18" s="1"/>
  <c r="E11" i="18"/>
  <c r="F11" i="18" s="1"/>
  <c r="G11" i="18" s="1"/>
  <c r="I11" i="18" s="1"/>
  <c r="S11" i="18" s="1"/>
  <c r="E10" i="18"/>
  <c r="F10" i="18" s="1"/>
  <c r="G10" i="18" s="1"/>
  <c r="I10" i="18" s="1"/>
  <c r="E9" i="18"/>
  <c r="F9" i="18" s="1"/>
  <c r="G9" i="18" s="1"/>
  <c r="I9" i="18" s="1"/>
  <c r="S9" i="18" s="1"/>
  <c r="E8" i="18"/>
  <c r="F8" i="18" s="1"/>
  <c r="G8" i="18" s="1"/>
  <c r="I8" i="18" s="1"/>
  <c r="E7" i="18"/>
  <c r="F7" i="18" s="1"/>
  <c r="G7" i="18" s="1"/>
  <c r="I7" i="18" s="1"/>
  <c r="S7" i="18" s="1"/>
  <c r="E6" i="18"/>
  <c r="F6" i="18" s="1"/>
  <c r="G6" i="18" s="1"/>
  <c r="G59" i="82"/>
  <c r="H59" i="82" s="1"/>
  <c r="J59" i="82" s="1"/>
  <c r="G58" i="82"/>
  <c r="H58" i="82" s="1"/>
  <c r="J58" i="82" s="1"/>
  <c r="H57" i="82"/>
  <c r="J57" i="82" s="1"/>
  <c r="G57" i="82"/>
  <c r="G56" i="82"/>
  <c r="H56" i="82" s="1"/>
  <c r="J56" i="82" s="1"/>
  <c r="G55" i="82"/>
  <c r="H55" i="82" s="1"/>
  <c r="J55" i="82" s="1"/>
  <c r="G54" i="82"/>
  <c r="H54" i="82" s="1"/>
  <c r="J54" i="82" s="1"/>
  <c r="L54" i="82" s="1"/>
  <c r="O12" i="82"/>
  <c r="H49" i="82"/>
  <c r="J49" i="82" s="1"/>
  <c r="G49" i="82"/>
  <c r="H48" i="82"/>
  <c r="J48" i="82" s="1"/>
  <c r="G48" i="82"/>
  <c r="H47" i="82"/>
  <c r="J47" i="82" s="1"/>
  <c r="G47" i="82"/>
  <c r="G46" i="82"/>
  <c r="H46" i="82" s="1"/>
  <c r="J46" i="82" s="1"/>
  <c r="J45" i="82"/>
  <c r="H45" i="82"/>
  <c r="G45" i="82"/>
  <c r="H44" i="82"/>
  <c r="J44" i="82" s="1"/>
  <c r="G44" i="82"/>
  <c r="H39" i="82"/>
  <c r="J39" i="82" s="1"/>
  <c r="G39" i="82"/>
  <c r="H38" i="82"/>
  <c r="J38" i="82" s="1"/>
  <c r="G38" i="82"/>
  <c r="G37" i="82"/>
  <c r="H37" i="82" s="1"/>
  <c r="J37" i="82" s="1"/>
  <c r="G36" i="82"/>
  <c r="H36" i="82" s="1"/>
  <c r="J36" i="82" s="1"/>
  <c r="G35" i="82"/>
  <c r="H35" i="82" s="1"/>
  <c r="J35" i="82" s="1"/>
  <c r="H34" i="82"/>
  <c r="J34" i="82" s="1"/>
  <c r="G34" i="82"/>
  <c r="G30" i="82"/>
  <c r="H30" i="82" s="1"/>
  <c r="J30" i="82" s="1"/>
  <c r="H29" i="82"/>
  <c r="J29" i="82" s="1"/>
  <c r="G29" i="82"/>
  <c r="G28" i="82"/>
  <c r="H28" i="82" s="1"/>
  <c r="J28" i="82" s="1"/>
  <c r="H27" i="82"/>
  <c r="J27" i="82" s="1"/>
  <c r="G27" i="82"/>
  <c r="G26" i="82"/>
  <c r="H26" i="82" s="1"/>
  <c r="J26" i="82" s="1"/>
  <c r="L25" i="82" s="1"/>
  <c r="G25" i="82"/>
  <c r="H25" i="82" s="1"/>
  <c r="J25" i="82" s="1"/>
  <c r="P16" i="82"/>
  <c r="N16" i="82"/>
  <c r="L16" i="82"/>
  <c r="J16" i="82"/>
  <c r="H6" i="83"/>
  <c r="D10" i="82"/>
  <c r="D15" i="82" s="1"/>
  <c r="E6" i="82"/>
  <c r="F6" i="82" s="1"/>
  <c r="G6" i="82" s="1"/>
  <c r="I6" i="82" s="1"/>
  <c r="E7" i="82"/>
  <c r="F7" i="82" s="1"/>
  <c r="G7" i="82" s="1"/>
  <c r="I7" i="82" s="1"/>
  <c r="E8" i="82"/>
  <c r="F8" i="82" s="1"/>
  <c r="G8" i="82" s="1"/>
  <c r="I8" i="82" s="1"/>
  <c r="Q8" i="82" s="1"/>
  <c r="E9" i="82"/>
  <c r="F9" i="82" s="1"/>
  <c r="G9" i="82" s="1"/>
  <c r="I9" i="82" s="1"/>
  <c r="M9" i="82" s="1"/>
  <c r="E11" i="82"/>
  <c r="F11" i="82" s="1"/>
  <c r="G11" i="82" s="1"/>
  <c r="I11" i="82" s="1"/>
  <c r="E12" i="82"/>
  <c r="F12" i="82" s="1"/>
  <c r="G12" i="82" s="1"/>
  <c r="I12" i="82" s="1"/>
  <c r="E13" i="82"/>
  <c r="F13" i="82" s="1"/>
  <c r="G13" i="82" s="1"/>
  <c r="I13" i="82" s="1"/>
  <c r="E14" i="82"/>
  <c r="F14" i="82" s="1"/>
  <c r="G14" i="82" s="1"/>
  <c r="I14" i="82" s="1"/>
  <c r="G25" i="83"/>
  <c r="H25" i="83" s="1"/>
  <c r="J25" i="83" s="1"/>
  <c r="G24" i="83"/>
  <c r="H24" i="83" s="1"/>
  <c r="J24" i="83" s="1"/>
  <c r="G23" i="83"/>
  <c r="H23" i="83" s="1"/>
  <c r="J23" i="83" s="1"/>
  <c r="G22" i="83"/>
  <c r="H22" i="83" s="1"/>
  <c r="J22" i="83" s="1"/>
  <c r="G21" i="83"/>
  <c r="H21" i="83" s="1"/>
  <c r="J21" i="83" s="1"/>
  <c r="G20" i="83"/>
  <c r="H20" i="83" s="1"/>
  <c r="J20" i="83" s="1"/>
  <c r="J11" i="83"/>
  <c r="E6" i="83"/>
  <c r="F6" i="83" s="1"/>
  <c r="G6" i="83" s="1"/>
  <c r="J6" i="83" s="1"/>
  <c r="E7" i="83"/>
  <c r="F7" i="83" s="1"/>
  <c r="G7" i="83" s="1"/>
  <c r="H7" i="83" s="1"/>
  <c r="J7" i="83" s="1"/>
  <c r="E8" i="83"/>
  <c r="F8" i="83" s="1"/>
  <c r="G8" i="83" s="1"/>
  <c r="H8" i="83" s="1"/>
  <c r="J8" i="83" s="1"/>
  <c r="E9" i="83"/>
  <c r="F9" i="83" s="1"/>
  <c r="G9" i="83" s="1"/>
  <c r="H9" i="83" s="1"/>
  <c r="J9" i="83" s="1"/>
  <c r="E10" i="83"/>
  <c r="F10" i="83" s="1"/>
  <c r="G10" i="83" s="1"/>
  <c r="H10" i="83" s="1"/>
  <c r="J10" i="83" s="1"/>
  <c r="E11" i="83"/>
  <c r="F11" i="83" s="1"/>
  <c r="G11" i="83" s="1"/>
  <c r="E12" i="83"/>
  <c r="F12" i="83" s="1"/>
  <c r="G12" i="83" s="1"/>
  <c r="H12" i="83" s="1"/>
  <c r="J12" i="83" s="1"/>
  <c r="E13" i="83"/>
  <c r="F13" i="83" s="1"/>
  <c r="G13" i="83" s="1"/>
  <c r="H13" i="83" s="1"/>
  <c r="J13" i="83" s="1"/>
  <c r="E14" i="83"/>
  <c r="F14" i="83" s="1"/>
  <c r="G14" i="83" s="1"/>
  <c r="H14" i="83" s="1"/>
  <c r="J14" i="83" s="1"/>
  <c r="D15" i="83"/>
  <c r="D15" i="84"/>
  <c r="G5" i="72" l="1"/>
  <c r="G6" i="72"/>
  <c r="J11" i="91"/>
  <c r="L56" i="18"/>
  <c r="L46" i="18"/>
  <c r="L35" i="18"/>
  <c r="L25" i="18"/>
  <c r="E12" i="18"/>
  <c r="F12" i="18" s="1"/>
  <c r="G12" i="18" s="1"/>
  <c r="I12" i="18" s="1"/>
  <c r="P18" i="18"/>
  <c r="I6" i="18"/>
  <c r="S6" i="18" s="1"/>
  <c r="Q13" i="18"/>
  <c r="K13" i="18"/>
  <c r="O13" i="18"/>
  <c r="M13" i="18"/>
  <c r="Q10" i="18"/>
  <c r="K10" i="18"/>
  <c r="O10" i="18"/>
  <c r="M10" i="18"/>
  <c r="Q11" i="18"/>
  <c r="O11" i="18"/>
  <c r="M11" i="18"/>
  <c r="K11" i="18"/>
  <c r="M7" i="18"/>
  <c r="Q7" i="18"/>
  <c r="O7" i="18"/>
  <c r="K7" i="18"/>
  <c r="Q8" i="18"/>
  <c r="O8" i="18"/>
  <c r="M8" i="18"/>
  <c r="K8" i="18"/>
  <c r="Q14" i="18"/>
  <c r="O14" i="18"/>
  <c r="K14" i="18"/>
  <c r="M14" i="18"/>
  <c r="Q9" i="18"/>
  <c r="M9" i="18"/>
  <c r="O9" i="18"/>
  <c r="K9" i="18"/>
  <c r="L44" i="82"/>
  <c r="L34" i="82"/>
  <c r="K11" i="82"/>
  <c r="O11" i="82"/>
  <c r="M11" i="82"/>
  <c r="Q7" i="82"/>
  <c r="O7" i="82"/>
  <c r="M7" i="82"/>
  <c r="Q14" i="82"/>
  <c r="O14" i="82"/>
  <c r="M14" i="82"/>
  <c r="O13" i="82"/>
  <c r="M13" i="82"/>
  <c r="Q13" i="82"/>
  <c r="Q6" i="82"/>
  <c r="O6" i="82"/>
  <c r="M6" i="82"/>
  <c r="K6" i="82"/>
  <c r="M12" i="82"/>
  <c r="Q12" i="82"/>
  <c r="M8" i="82"/>
  <c r="Q11" i="82"/>
  <c r="O9" i="82"/>
  <c r="Q16" i="82"/>
  <c r="P17" i="82" s="1"/>
  <c r="P18" i="82" s="1"/>
  <c r="K9" i="82"/>
  <c r="O8" i="82"/>
  <c r="Q9" i="82"/>
  <c r="K8" i="82"/>
  <c r="K7" i="82"/>
  <c r="K14" i="82"/>
  <c r="K13" i="82"/>
  <c r="K12" i="82"/>
  <c r="E10" i="82"/>
  <c r="F10" i="82" s="1"/>
  <c r="G10" i="82" s="1"/>
  <c r="L20" i="83"/>
  <c r="E15" i="18" l="1"/>
  <c r="Q12" i="18"/>
  <c r="S12" i="18"/>
  <c r="K12" i="18"/>
  <c r="O12" i="18"/>
  <c r="M12" i="18"/>
  <c r="F15" i="18"/>
  <c r="G15" i="18"/>
  <c r="L18" i="18"/>
  <c r="J18" i="18"/>
  <c r="N18" i="18"/>
  <c r="Q6" i="18"/>
  <c r="O6" i="18"/>
  <c r="M6" i="18"/>
  <c r="K6" i="18"/>
  <c r="L17" i="82"/>
  <c r="L18" i="82" s="1"/>
  <c r="I10" i="82"/>
  <c r="K10" i="82" s="1"/>
  <c r="J17" i="82"/>
  <c r="J18" i="82" s="1"/>
  <c r="N17" i="82"/>
  <c r="N18" i="82" s="1"/>
  <c r="F15" i="82"/>
  <c r="G15" i="82"/>
  <c r="E15" i="82"/>
  <c r="G15" i="83"/>
  <c r="F15" i="83"/>
  <c r="E15" i="83"/>
  <c r="Q10" i="82" l="1"/>
  <c r="M10" i="82"/>
  <c r="O10" i="82"/>
  <c r="K9" i="8" l="1"/>
  <c r="K6" i="8"/>
  <c r="L6" i="8" s="1"/>
  <c r="H9" i="8"/>
  <c r="I23" i="3"/>
  <c r="J23" i="3" s="1"/>
  <c r="K23" i="3" s="1"/>
  <c r="I8" i="3"/>
  <c r="I9" i="3"/>
  <c r="I5" i="3"/>
  <c r="H6" i="8"/>
  <c r="I6" i="3"/>
  <c r="J22" i="3"/>
  <c r="K22" i="3" s="1"/>
  <c r="H23" i="3"/>
  <c r="G22" i="3"/>
  <c r="H22" i="3" s="1"/>
  <c r="G23" i="3"/>
  <c r="G24" i="3"/>
  <c r="H24" i="3" s="1"/>
  <c r="J24" i="3" s="1"/>
  <c r="K24" i="3" s="1"/>
  <c r="G27" i="3"/>
  <c r="H27" i="3" s="1"/>
  <c r="J27" i="3" s="1"/>
  <c r="K27" i="3" s="1"/>
  <c r="G26" i="3"/>
  <c r="H26" i="3" s="1"/>
  <c r="J26" i="3" s="1"/>
  <c r="K26" i="3" s="1"/>
  <c r="G25" i="3"/>
  <c r="H25" i="3" s="1"/>
  <c r="J25" i="3" s="1"/>
  <c r="G7" i="3"/>
  <c r="I7" i="3" s="1"/>
  <c r="G6" i="3"/>
  <c r="S23" i="99"/>
  <c r="J275" i="99"/>
  <c r="J274" i="99"/>
  <c r="X379" i="99"/>
  <c r="I11" i="3" l="1"/>
  <c r="K25" i="3"/>
  <c r="K29" i="3" s="1"/>
  <c r="I14" i="3"/>
  <c r="I15" i="3" s="1"/>
  <c r="J291" i="99"/>
  <c r="J245" i="99"/>
  <c r="K28" i="3" l="1"/>
  <c r="J329" i="99" l="1"/>
  <c r="J209" i="99"/>
  <c r="J195" i="99"/>
  <c r="N10" i="99"/>
  <c r="N11" i="99" s="1"/>
  <c r="M9" i="99"/>
  <c r="M8" i="99"/>
  <c r="M7" i="99"/>
  <c r="M6" i="99"/>
  <c r="M5" i="99"/>
  <c r="M4" i="99"/>
  <c r="M3" i="99"/>
  <c r="M2" i="99"/>
  <c r="M1" i="99"/>
  <c r="M10" i="99" l="1"/>
  <c r="M11" i="99" s="1"/>
  <c r="M12" i="99" s="1"/>
  <c r="J181" i="99"/>
  <c r="J43" i="99"/>
  <c r="I25" i="99"/>
  <c r="F25" i="99"/>
  <c r="G25" i="99" s="1"/>
  <c r="I24" i="99"/>
  <c r="I23" i="99"/>
  <c r="I22" i="99"/>
  <c r="I21" i="99"/>
  <c r="F24" i="99"/>
  <c r="G24" i="99" s="1"/>
  <c r="F21" i="99"/>
  <c r="G21" i="99" s="1"/>
  <c r="F23" i="99"/>
  <c r="G23" i="99" s="1"/>
  <c r="F22" i="99"/>
  <c r="G22" i="99" s="1"/>
  <c r="F14" i="99"/>
  <c r="F10" i="99"/>
  <c r="F13" i="99" s="1"/>
  <c r="J22" i="99" l="1"/>
  <c r="J23" i="99"/>
  <c r="J25" i="99"/>
  <c r="J21" i="99"/>
  <c r="J24" i="99"/>
  <c r="F11" i="99"/>
  <c r="F12" i="99" s="1"/>
  <c r="F15" i="99" s="1"/>
  <c r="J26" i="99" l="1"/>
  <c r="J27" i="99" s="1"/>
  <c r="D24" i="96" l="1"/>
  <c r="E20" i="96"/>
  <c r="D18" i="96" s="1"/>
  <c r="D19" i="96" s="1"/>
  <c r="D14" i="96" s="1"/>
  <c r="D27" i="96"/>
  <c r="D15" i="96" s="1"/>
  <c r="D21" i="96"/>
  <c r="D10" i="96" s="1"/>
  <c r="D12" i="96"/>
  <c r="D13" i="96" l="1"/>
  <c r="D11" i="96"/>
  <c r="D9" i="96" s="1"/>
  <c r="D16" i="96" s="1"/>
  <c r="F8" i="15" l="1"/>
  <c r="G8" i="15" s="1"/>
  <c r="I8" i="15" s="1"/>
  <c r="F7" i="15"/>
  <c r="G7" i="15" s="1"/>
  <c r="I7" i="15" s="1"/>
  <c r="K7" i="15" s="1"/>
  <c r="F52" i="35"/>
  <c r="G52" i="35" s="1"/>
  <c r="I52" i="35" s="1"/>
  <c r="F46" i="35"/>
  <c r="G46" i="35" s="1"/>
  <c r="I46" i="35" s="1"/>
  <c r="F45" i="35"/>
  <c r="G45" i="35" s="1"/>
  <c r="I45" i="35" s="1"/>
  <c r="F44" i="35"/>
  <c r="G44" i="35" s="1"/>
  <c r="I44" i="35" s="1"/>
  <c r="F43" i="35"/>
  <c r="G43" i="35" s="1"/>
  <c r="I43" i="35" s="1"/>
  <c r="F42" i="35"/>
  <c r="G42" i="35" s="1"/>
  <c r="I42" i="35" s="1"/>
  <c r="F41" i="35"/>
  <c r="G41" i="35" s="1"/>
  <c r="I41" i="35" s="1"/>
  <c r="F40" i="35"/>
  <c r="G40" i="35" s="1"/>
  <c r="I40" i="35" s="1"/>
  <c r="F39" i="35"/>
  <c r="G39" i="35" s="1"/>
  <c r="I39" i="35" s="1"/>
  <c r="F38" i="35"/>
  <c r="G38" i="35" s="1"/>
  <c r="I38" i="35" s="1"/>
  <c r="F32" i="35"/>
  <c r="G32" i="35" s="1"/>
  <c r="I32" i="35" s="1"/>
  <c r="F31" i="35"/>
  <c r="G31" i="35" s="1"/>
  <c r="I31" i="35" s="1"/>
  <c r="F30" i="35"/>
  <c r="G30" i="35" s="1"/>
  <c r="I30" i="35" s="1"/>
  <c r="F29" i="35"/>
  <c r="G29" i="35" s="1"/>
  <c r="I29" i="35" s="1"/>
  <c r="F28" i="35"/>
  <c r="G28" i="35" s="1"/>
  <c r="I28" i="35" s="1"/>
  <c r="F27" i="35"/>
  <c r="G27" i="35" s="1"/>
  <c r="I27" i="35" s="1"/>
  <c r="F26" i="35"/>
  <c r="G26" i="35" s="1"/>
  <c r="I26" i="35" s="1"/>
  <c r="F25" i="35"/>
  <c r="G25" i="35" s="1"/>
  <c r="I25" i="35" s="1"/>
  <c r="F24" i="35"/>
  <c r="G24" i="35" s="1"/>
  <c r="I24" i="35" s="1"/>
  <c r="F14" i="35"/>
  <c r="G14" i="35" s="1"/>
  <c r="I14" i="35" s="1"/>
  <c r="F15" i="35"/>
  <c r="G15" i="35" s="1"/>
  <c r="I15" i="35" s="1"/>
  <c r="F16" i="35"/>
  <c r="G16" i="35" s="1"/>
  <c r="I16" i="35" s="1"/>
  <c r="F17" i="35"/>
  <c r="G17" i="35" s="1"/>
  <c r="I17" i="35" s="1"/>
  <c r="F18" i="35"/>
  <c r="G18" i="35" s="1"/>
  <c r="I18" i="35" s="1"/>
  <c r="F11" i="35"/>
  <c r="G11" i="35" s="1"/>
  <c r="I11" i="35" s="1"/>
  <c r="F12" i="35"/>
  <c r="G12" i="35" s="1"/>
  <c r="I12" i="35" s="1"/>
  <c r="K52" i="35" l="1"/>
  <c r="K24" i="35"/>
  <c r="K38" i="35"/>
  <c r="F13" i="35"/>
  <c r="G13" i="35" s="1"/>
  <c r="I13" i="35" s="1"/>
  <c r="F10" i="35"/>
  <c r="G10" i="35" s="1"/>
  <c r="I10" i="35" s="1"/>
  <c r="F27" i="28"/>
  <c r="G27" i="28" s="1"/>
  <c r="I27" i="28" s="1"/>
  <c r="F26" i="28"/>
  <c r="G26" i="28" s="1"/>
  <c r="I26" i="28" s="1"/>
  <c r="F20" i="28"/>
  <c r="G20" i="28" s="1"/>
  <c r="F21" i="28"/>
  <c r="G21" i="28" s="1"/>
  <c r="I21" i="28" s="1"/>
  <c r="K10" i="35" l="1"/>
  <c r="J9" i="91"/>
  <c r="K26" i="28"/>
  <c r="I20" i="28"/>
  <c r="K20" i="28" s="1"/>
  <c r="F16" i="28" l="1"/>
  <c r="G16" i="28" s="1"/>
  <c r="I16" i="28" s="1"/>
  <c r="F15" i="28"/>
  <c r="G15" i="28" s="1"/>
  <c r="I15" i="28" s="1"/>
  <c r="F11" i="28"/>
  <c r="G11" i="28" s="1"/>
  <c r="I11" i="28" s="1"/>
  <c r="F10" i="28"/>
  <c r="G10" i="28" s="1"/>
  <c r="I10" i="28" s="1"/>
  <c r="J29" i="84"/>
  <c r="G21" i="84"/>
  <c r="H21" i="84" s="1"/>
  <c r="J21" i="84" s="1"/>
  <c r="G20" i="84"/>
  <c r="H20" i="84" s="1"/>
  <c r="J20" i="84" s="1"/>
  <c r="G19" i="84"/>
  <c r="H19" i="84" s="1"/>
  <c r="J19" i="84" s="1"/>
  <c r="G22" i="84"/>
  <c r="H22" i="84" s="1"/>
  <c r="J22" i="84" s="1"/>
  <c r="G23" i="84"/>
  <c r="H23" i="84" s="1"/>
  <c r="J23" i="84" s="1"/>
  <c r="G24" i="84"/>
  <c r="H24" i="84" s="1"/>
  <c r="J24" i="84" s="1"/>
  <c r="L19" i="84" l="1"/>
  <c r="K15" i="28"/>
  <c r="K10" i="28"/>
  <c r="E11" i="84"/>
  <c r="F11" i="84" s="1"/>
  <c r="G11" i="84" s="1"/>
  <c r="H11" i="84" s="1"/>
  <c r="E12" i="84"/>
  <c r="F12" i="84" s="1"/>
  <c r="G12" i="84" s="1"/>
  <c r="D10" i="84"/>
  <c r="E14" i="84"/>
  <c r="F14" i="84" s="1"/>
  <c r="G14" i="84" s="1"/>
  <c r="E13" i="84"/>
  <c r="E9" i="84"/>
  <c r="F9" i="84" s="1"/>
  <c r="G9" i="84" s="1"/>
  <c r="H9" i="84" s="1"/>
  <c r="I9" i="84" s="1"/>
  <c r="E8" i="84"/>
  <c r="F8" i="84" s="1"/>
  <c r="G8" i="84" s="1"/>
  <c r="H8" i="84" s="1"/>
  <c r="I8" i="84" s="1"/>
  <c r="E7" i="84"/>
  <c r="F7" i="84" s="1"/>
  <c r="G7" i="84" s="1"/>
  <c r="H7" i="84" s="1"/>
  <c r="I7" i="84" s="1"/>
  <c r="E6" i="84"/>
  <c r="F13" i="84" l="1"/>
  <c r="E15" i="84"/>
  <c r="I11" i="84"/>
  <c r="E10" i="84"/>
  <c r="F10" i="84" s="1"/>
  <c r="G10" i="84" s="1"/>
  <c r="H10" i="84" s="1"/>
  <c r="H12" i="84"/>
  <c r="H14" i="84"/>
  <c r="F6" i="84"/>
  <c r="G6" i="84" s="1"/>
  <c r="G13" i="84" l="1"/>
  <c r="F15" i="84"/>
  <c r="I14" i="84"/>
  <c r="I10" i="84"/>
  <c r="I12" i="84"/>
  <c r="H6" i="84"/>
  <c r="G15" i="84" l="1"/>
  <c r="H13" i="84"/>
  <c r="I13" i="84" s="1"/>
  <c r="I6" i="84"/>
  <c r="F19" i="13" l="1"/>
  <c r="E19" i="13"/>
  <c r="E20" i="13" l="1"/>
  <c r="F20" i="13"/>
  <c r="H11" i="13"/>
  <c r="H9" i="13" s="1"/>
  <c r="E17" i="13" l="1"/>
  <c r="G17" i="13" s="1"/>
  <c r="E16" i="13"/>
  <c r="G16" i="13" s="1"/>
  <c r="C18" i="81" l="1"/>
  <c r="H24" i="81"/>
  <c r="H25" i="81"/>
  <c r="H15" i="81"/>
  <c r="H18" i="81"/>
  <c r="H17" i="81"/>
  <c r="H16" i="81"/>
  <c r="C3" i="81"/>
  <c r="F6" i="81"/>
  <c r="F7" i="81" s="1"/>
  <c r="F10" i="81" s="1"/>
  <c r="C14" i="81" s="1"/>
  <c r="C5" i="81"/>
  <c r="J4" i="81"/>
  <c r="I4" i="81"/>
  <c r="C4" i="81"/>
  <c r="J3" i="81"/>
  <c r="I3" i="81"/>
  <c r="E25" i="75"/>
  <c r="E24" i="75"/>
  <c r="E23" i="75"/>
  <c r="E22" i="75"/>
  <c r="E21" i="75"/>
  <c r="I9" i="75"/>
  <c r="I8" i="75"/>
  <c r="I6" i="75"/>
  <c r="E26" i="75" l="1"/>
  <c r="I12" i="75"/>
  <c r="E30" i="75"/>
  <c r="H19" i="81"/>
  <c r="F3" i="81"/>
  <c r="F5" i="81" s="1"/>
  <c r="F9" i="81" s="1"/>
  <c r="C7" i="81" s="1"/>
  <c r="E27" i="75" l="1"/>
  <c r="E28" i="75" s="1"/>
  <c r="E29" i="75" s="1"/>
  <c r="H20" i="81"/>
  <c r="H21" i="81" s="1"/>
  <c r="H22" i="81" s="1"/>
  <c r="H23" i="81"/>
  <c r="C8" i="81"/>
  <c r="E31" i="75" l="1"/>
  <c r="E32" i="75" s="1"/>
  <c r="I14" i="75"/>
  <c r="I15" i="75" l="1"/>
  <c r="I16" i="75" l="1"/>
  <c r="I18" i="75" s="1"/>
  <c r="D48" i="24" l="1"/>
  <c r="D50" i="24" s="1"/>
  <c r="D51" i="24" l="1"/>
  <c r="D52" i="24" l="1"/>
  <c r="H6" i="13" l="1"/>
  <c r="H8" i="13"/>
  <c r="H7" i="13"/>
  <c r="H4" i="13" l="1"/>
  <c r="H12" i="13" s="1"/>
  <c r="E17" i="10" l="1"/>
  <c r="E19" i="10" s="1"/>
  <c r="H10" i="10" s="1"/>
  <c r="F7" i="24"/>
  <c r="F19" i="24" l="1"/>
  <c r="G19" i="24" s="1"/>
  <c r="H19" i="24" s="1"/>
  <c r="I19" i="24" s="1"/>
  <c r="J19" i="24" s="1"/>
  <c r="K19" i="24" s="1"/>
  <c r="F17" i="24"/>
  <c r="G17" i="24" s="1"/>
  <c r="H17" i="24" s="1"/>
  <c r="I17" i="24" s="1"/>
  <c r="J17" i="24" s="1"/>
  <c r="K17" i="24" s="1"/>
  <c r="F14" i="24"/>
  <c r="G14" i="24" s="1"/>
  <c r="H14" i="24" s="1"/>
  <c r="I14" i="24" s="1"/>
  <c r="J14" i="24" s="1"/>
  <c r="K14" i="24" s="1"/>
  <c r="F12" i="24"/>
  <c r="G12" i="24" s="1"/>
  <c r="H12" i="24" s="1"/>
  <c r="I12" i="24" s="1"/>
  <c r="J12" i="24" s="1"/>
  <c r="K12" i="24" s="1"/>
  <c r="F11" i="24"/>
  <c r="G11" i="24" s="1"/>
  <c r="H11" i="24" s="1"/>
  <c r="I11" i="24" s="1"/>
  <c r="J11" i="24" s="1"/>
  <c r="K11" i="24" s="1"/>
  <c r="F18" i="24" l="1"/>
  <c r="G18" i="24" s="1"/>
  <c r="H18" i="24" s="1"/>
  <c r="I18" i="24" s="1"/>
  <c r="J18" i="24" s="1"/>
  <c r="K18" i="24" s="1"/>
  <c r="F13" i="24"/>
  <c r="G13" i="24" s="1"/>
  <c r="H13" i="24" s="1"/>
  <c r="I13" i="24" s="1"/>
  <c r="J13" i="24" s="1"/>
  <c r="K13" i="24" s="1"/>
  <c r="F16" i="24"/>
  <c r="G16" i="24" s="1"/>
  <c r="H16" i="24" s="1"/>
  <c r="I16" i="24" s="1"/>
  <c r="J16" i="24" s="1"/>
  <c r="K16" i="24" s="1"/>
  <c r="F15" i="24"/>
  <c r="G15" i="24" s="1"/>
  <c r="H15" i="24" s="1"/>
  <c r="I15" i="24" s="1"/>
  <c r="J15" i="24" s="1"/>
  <c r="K15" i="24" s="1"/>
  <c r="F10" i="24" l="1"/>
  <c r="F21" i="24" s="1"/>
  <c r="E24" i="24" s="1"/>
  <c r="E25" i="24" s="1"/>
  <c r="E26" i="24" s="1"/>
  <c r="E27" i="24" s="1"/>
  <c r="E30" i="24" l="1"/>
  <c r="H8" i="10" l="1"/>
  <c r="H5" i="10"/>
  <c r="H11" i="10" l="1"/>
  <c r="D7" i="8" l="1"/>
  <c r="H7" i="8" s="1"/>
  <c r="D8" i="8"/>
  <c r="H8" i="8" s="1"/>
  <c r="C9" i="8"/>
  <c r="C5" i="8" s="1"/>
  <c r="D9" i="8" l="1"/>
  <c r="H10" i="8" l="1"/>
  <c r="D5" i="8"/>
  <c r="I9" i="8" l="1"/>
  <c r="J9" i="8" s="1"/>
  <c r="I6" i="8"/>
  <c r="J6" i="8" l="1"/>
  <c r="L9" i="8"/>
  <c r="I10" i="8"/>
  <c r="C12" i="81" l="1"/>
  <c r="C15" i="81" s="1"/>
  <c r="C16" i="81" s="1"/>
  <c r="D8" i="72" l="1"/>
  <c r="D9" i="72" s="1"/>
  <c r="G8" i="72" l="1"/>
</calcChain>
</file>

<file path=xl/sharedStrings.xml><?xml version="1.0" encoding="utf-8"?>
<sst xmlns="http://schemas.openxmlformats.org/spreadsheetml/2006/main" count="4513" uniqueCount="1214">
  <si>
    <t>Plānotais apmeklētāju skaits</t>
  </si>
  <si>
    <t>Kopā</t>
  </si>
  <si>
    <t>Auto skaits ar ģimenēm</t>
  </si>
  <si>
    <t>Auto skaits pieaugušie 2 vienā mašinā + bērns ar apmeklētāju 100% atlaidi + skolēns</t>
  </si>
  <si>
    <t>mēneši</t>
  </si>
  <si>
    <t>EUR</t>
  </si>
  <si>
    <t>Izmaksas gadā, EUR</t>
  </si>
  <si>
    <t>EKK</t>
  </si>
  <si>
    <t>Aprēķins</t>
  </si>
  <si>
    <t>Tiešās izmaksas</t>
  </si>
  <si>
    <t>Atalgojums</t>
  </si>
  <si>
    <t>Darba devēja valsts sociālās apdrošināšanas obligātās iemaksas, pabalsti un kompensācijas</t>
  </si>
  <si>
    <t>Netiešās izmaksas</t>
  </si>
  <si>
    <t>Izmaksas</t>
  </si>
  <si>
    <t>Atlaide</t>
  </si>
  <si>
    <t>Maksas pakalpojuma izcenojuma aprēķins</t>
  </si>
  <si>
    <t>Izdevumu klasifikācijas kods</t>
  </si>
  <si>
    <t>Rādītājs (materiāla/izejvielas nosaukums, atlīdzība un citi izmaksu veidi)</t>
  </si>
  <si>
    <t>Izmaksu apjoms noteiktā laikposmā viena maksas pakalpojuma veida nodrošināšanai</t>
  </si>
  <si>
    <t>x</t>
  </si>
  <si>
    <t>Tiešās izmaksas kopā:</t>
  </si>
  <si>
    <t>Pamatlīdzekļu amortizācija</t>
  </si>
  <si>
    <t>Netiešās izmaksas kopā:</t>
  </si>
  <si>
    <t>Pakalpojuma izmaksas kopā:</t>
  </si>
  <si>
    <t>Prognozētais maksas pakalpojumu skaits gadā (gab.)*</t>
  </si>
  <si>
    <t>Biļešu skaits gadā</t>
  </si>
  <si>
    <t>Biļetes cenas formula</t>
  </si>
  <si>
    <t>X</t>
  </si>
  <si>
    <t>Cenas Koeficients</t>
  </si>
  <si>
    <t>Attiecināmo izmaksu procents</t>
  </si>
  <si>
    <t>Apmeklētāju skaits</t>
  </si>
  <si>
    <t>PVN</t>
  </si>
  <si>
    <t>Nosacītās bāzes vienības gadā</t>
  </si>
  <si>
    <t>2.1.</t>
  </si>
  <si>
    <t>2.2.</t>
  </si>
  <si>
    <t>Autostāvvietas izmantošana (nav LDT apmeklētājs)</t>
  </si>
  <si>
    <t>Autostāvvietas izmantošana (LDT apmeklētājs) kopā</t>
  </si>
  <si>
    <t>0.5X</t>
  </si>
  <si>
    <t>Plānotās izmaksas</t>
  </si>
  <si>
    <t xml:space="preserve">Maksas pakalpojuma veids: </t>
  </si>
  <si>
    <t>1.</t>
  </si>
  <si>
    <t>Eelektrība</t>
  </si>
  <si>
    <t>Atkritumi</t>
  </si>
  <si>
    <t>Internets</t>
  </si>
  <si>
    <t>Ūdens un kanalizācija</t>
  </si>
  <si>
    <t>Telpu un teritorijas kopšana</t>
  </si>
  <si>
    <t>Apsardze</t>
  </si>
  <si>
    <t>Saimniecības preces</t>
  </si>
  <si>
    <t>Apkure</t>
  </si>
  <si>
    <t>gadā</t>
  </si>
  <si>
    <t>Mazā zāle 34m2</t>
  </si>
  <si>
    <t>Kamīnzāle 125m2</t>
  </si>
  <si>
    <t>Nodarbību telpa 55m2</t>
  </si>
  <si>
    <t>VSAOI</t>
  </si>
  <si>
    <t>Pakalpojuma izmaksas kopā</t>
  </si>
  <si>
    <t>1m2 izmaksas mēnesī</t>
  </si>
  <si>
    <t>1m2 izmaksas dienā</t>
  </si>
  <si>
    <t>1m2 izmaksas stundā</t>
  </si>
  <si>
    <r>
      <t>Mazā zāle (36,7 m</t>
    </r>
    <r>
      <rPr>
        <vertAlign val="super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>)</t>
    </r>
  </si>
  <si>
    <r>
      <t>Sanāksmju zāle (57,2 m</t>
    </r>
    <r>
      <rPr>
        <vertAlign val="super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>)</t>
    </r>
  </si>
  <si>
    <r>
      <t>Lielā zāle (96,4 m</t>
    </r>
    <r>
      <rPr>
        <vertAlign val="super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>)</t>
    </r>
  </si>
  <si>
    <r>
      <t>Kamīnzāle  (47,4 m</t>
    </r>
    <r>
      <rPr>
        <vertAlign val="super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>)</t>
    </r>
  </si>
  <si>
    <t>Anda Zeize</t>
  </si>
  <si>
    <t>Apkure (granulas)</t>
  </si>
  <si>
    <t>NĪ uzturēšana, REMONTI</t>
  </si>
  <si>
    <t>5.3.</t>
  </si>
  <si>
    <t>1 m2 izmaksas gadā</t>
  </si>
  <si>
    <t>Nolietojums gadā</t>
  </si>
  <si>
    <t>m2</t>
  </si>
  <si>
    <t>darba dienas</t>
  </si>
  <si>
    <t>stundas</t>
  </si>
  <si>
    <t>Sausās tualetes nomas maksa</t>
  </si>
  <si>
    <t>Teritorijas uzkopšana</t>
  </si>
  <si>
    <t>Maksas pakalpojuma vienību skaits noteiktā laikposmā</t>
  </si>
  <si>
    <t>eur/h</t>
  </si>
  <si>
    <t>Telpu izmaksu aprēķins 1 stundai</t>
  </si>
  <si>
    <t>5.3.1.</t>
  </si>
  <si>
    <t>Sanāksmju zāle 54.5m2</t>
  </si>
  <si>
    <t>Anita Viškere</t>
  </si>
  <si>
    <t>Sintija Veinberga</t>
  </si>
  <si>
    <t>Ausma Lazdiņa</t>
  </si>
  <si>
    <t>Olga Veilande</t>
  </si>
  <si>
    <t>Ieva Veikšina</t>
  </si>
  <si>
    <t>Andrejs Svilāns</t>
  </si>
  <si>
    <t>Vineta Lasmane</t>
  </si>
  <si>
    <t>Iesaistīto darbinieku skaits</t>
  </si>
  <si>
    <t>Vidējā stundas likme bruto</t>
  </si>
  <si>
    <t>Andis Ķīsis</t>
  </si>
  <si>
    <t>Viktors Timaškovs</t>
  </si>
  <si>
    <t>Artūrs Kolnejs</t>
  </si>
  <si>
    <t>Atkritumu savākšana</t>
  </si>
  <si>
    <t>1 Pieslēguma vietas izveidošanas izmaksas</t>
  </si>
  <si>
    <t>Lietošanas laiks gadi</t>
  </si>
  <si>
    <t>gadi</t>
  </si>
  <si>
    <t>Pieslēgšanās reizes gadā (7.5 reizes mēnesī no jūnija līdz septembrim)</t>
  </si>
  <si>
    <t>PL amortizācija vienai pieslēgšanās reizei</t>
  </si>
  <si>
    <t>Materiāli taku remontiem gadā</t>
  </si>
  <si>
    <t>IADT uzturēšana</t>
  </si>
  <si>
    <t>Materiāli taku remontiem</t>
  </si>
  <si>
    <t xml:space="preserve">Atkritumu savākšana </t>
  </si>
  <si>
    <t>dienā</t>
  </si>
  <si>
    <t xml:space="preserve">Teritorijas uzkopšana </t>
  </si>
  <si>
    <t>Visā Latvijā</t>
  </si>
  <si>
    <t>Teritorijas</t>
  </si>
  <si>
    <t>skaits</t>
  </si>
  <si>
    <t>uz 1 terit.</t>
  </si>
  <si>
    <t>Atalgojums uzraugs</t>
  </si>
  <si>
    <t>2.</t>
  </si>
  <si>
    <t>3.</t>
  </si>
  <si>
    <t>4.</t>
  </si>
  <si>
    <t>5.</t>
  </si>
  <si>
    <t>Mazā semināru telpa (35 m2)</t>
  </si>
  <si>
    <t>Lielā semināru telpa (53m2)</t>
  </si>
  <si>
    <t>6.</t>
  </si>
  <si>
    <t>7.</t>
  </si>
  <si>
    <t>Teritorijas uzkopšanas izmaksas (atkritumi u.c.)</t>
  </si>
  <si>
    <t>Materiāli taku remontiem dienā</t>
  </si>
  <si>
    <t>ĪADT uzturēšanas izmaksas gadā</t>
  </si>
  <si>
    <t>ĪADT uzturēšanas izmaksas dienā</t>
  </si>
  <si>
    <t>Attiecināmās izmaksas EUR</t>
  </si>
  <si>
    <t>Biļetes cena ar PVN</t>
  </si>
  <si>
    <t>Biļetes cena bez PVN</t>
  </si>
  <si>
    <t xml:space="preserve">Iestāde: </t>
  </si>
  <si>
    <t xml:space="preserve">Laikposms: </t>
  </si>
  <si>
    <t>Dabas aizsardzības pārvalde</t>
  </si>
  <si>
    <t>Liene Lutere</t>
  </si>
  <si>
    <t>Tirdzniecības vietas atļauja ĪADT DAP rīkotu publisku pasākumu laikā</t>
  </si>
  <si>
    <t xml:space="preserve">Darba devēja valsts sociālās apdrošināšanas obligātās iemaksas, pabalsti un kompensācijas </t>
  </si>
  <si>
    <t>CA:</t>
  </si>
  <si>
    <t>SOC.NODOKLIS.</t>
  </si>
  <si>
    <t>KOPĀ:</t>
  </si>
  <si>
    <t>Aprēķinām vidējo iesaistīto darbinieku stundas likmi:</t>
  </si>
  <si>
    <t>Mēnesī</t>
  </si>
  <si>
    <t>Dienā</t>
  </si>
  <si>
    <t>Paklpojumu nodrošināšanā iesaistītie darbiniekie.(Dokumentu noformēšana,telpu ierādīšana, rēķinu izrakstīšana, līgumu parasktīšana)- Atalgojums 1 stundas vidējā likme</t>
  </si>
  <si>
    <t>uz 1m2</t>
  </si>
  <si>
    <t>Telpu izmantošana Pārvaldes Ļaudonas birojā Aiviekstes ielā 3, Ļaudonā, Madonas novadā</t>
  </si>
  <si>
    <t>Telpu izmantošana Pārvaldes Ķemeru birojā "Meža māja", Ķemeri, Jūrmala</t>
  </si>
  <si>
    <t>LRA:</t>
  </si>
  <si>
    <t>Elza Šļare</t>
  </si>
  <si>
    <t>Stundā uz visu biroju (410,4 m2)</t>
  </si>
  <si>
    <t>Elektrības pieslēguma kemperim auto stāvlaukuma apsaimniekošanas izmaksas</t>
  </si>
  <si>
    <t>Plānotais auto skaits (autostāvlaukumu izmantošanai)</t>
  </si>
  <si>
    <t>Autostāvvietas izmantošana (vieglā automašīna)</t>
  </si>
  <si>
    <t>Autostāvvietas izmantošana (mikroautobuss)</t>
  </si>
  <si>
    <t>Autostāvvietas izmantošana (autobuss)</t>
  </si>
  <si>
    <t>Atlīdzība netiešajām izmaksām</t>
  </si>
  <si>
    <t>Slodze</t>
  </si>
  <si>
    <t>Mēnešalga</t>
  </si>
  <si>
    <t>Aprēķins mēnesim</t>
  </si>
  <si>
    <t>DAP finansists</t>
  </si>
  <si>
    <t>Kopā mēnesī</t>
  </si>
  <si>
    <t>Mēnesī piemaksas 
(20%)</t>
  </si>
  <si>
    <t>Gadā</t>
  </si>
  <si>
    <t>atvaļinājuma pabalsts (50%)</t>
  </si>
  <si>
    <t>Gadā VOSAI (23,59%)</t>
  </si>
  <si>
    <t>Kopā gadā</t>
  </si>
  <si>
    <t>Visu gadu jāveic maksa par pakalpojumu nodrošināšanu.</t>
  </si>
  <si>
    <t>Apraksts</t>
  </si>
  <si>
    <t>reizes gadā</t>
  </si>
  <si>
    <t xml:space="preserve">Lietvede </t>
  </si>
  <si>
    <t xml:space="preserve">Administrācijas direktors 
</t>
  </si>
  <si>
    <t>BNN vadītājs</t>
  </si>
  <si>
    <t>Administrācijas daļas vadītājs</t>
  </si>
  <si>
    <t>Nolietojums rēķināts uz 10 gadiem</t>
  </si>
  <si>
    <t>4. Bišu saimju izvietošana īpaši aizsargājamā dabas teritorijā valsts zemē, kas atrodas pārvaldes pārvaldīšanā</t>
  </si>
  <si>
    <t xml:space="preserve">cena (euro) </t>
  </si>
  <si>
    <t>Maksas pakalpojumu norēķinu sistēmas operators (norēķiniem DAP autostāvvietās)</t>
  </si>
  <si>
    <t>(1 m2 cena euro ir 0,22 euro*) (ik mēnesi, vasaras perioda mēnešos 4 reizes mēnesī)</t>
  </si>
  <si>
    <t>Auto stāvlaukuma seguma un pieguļošās teritorijas uzkopšana t.sk. savācot atkritumus un atkritumu nodošana atkritumu apsaimniekotajam</t>
  </si>
  <si>
    <t>Auto stāvlaukumu infrastruktūras un aprīkojumu uzturēšana/remonti (tualešu, atpūtas vietu, atkritumu urnu, Info stendu, norāžu, ceļa zīmes, velo statīvu, norobežojumu, līniju marķēšana, bedrīšu remonti, lietus ūdens novadīšanas sistēmu uzturēšana)</t>
  </si>
  <si>
    <t>Videonovērošanas izmaksas</t>
  </si>
  <si>
    <t>PL Nolietojums (Automātiskās barjeras, biļešu automāta/ stabiņu uzstādīšana/ elektrouzlādes stacijas nodrošināšana (iegāde))</t>
  </si>
  <si>
    <t>*par pamatu cenai ņemta apsaimiekotāja cena uz 1m2</t>
  </si>
  <si>
    <t>Izmaksu aprēķins veikts pamatojoties uz autostāvlaukuma izdevumiem gadā (pieņemot, ka vidējais stāvlaukumu laukums 2166 m2)</t>
  </si>
  <si>
    <t>(1 m2 cena euro ir 0,22 euro*) (decembris, janvāris, februāris, marts - ik pa divām nedēļām, vai vairāk pēc nepieciešamības)</t>
  </si>
  <si>
    <t>Autostāvvietu ziemas uzturēšana t.sk. attīrīšana no sniega un apledojuma (pretslīdes materiāli)</t>
  </si>
  <si>
    <t>Staciju skaits</t>
  </si>
  <si>
    <t>Izmaksas par uzlādēs patērēto elektroenerģiju (EUR)</t>
  </si>
  <si>
    <t>Elektrotransportlīdzekļu uzlādes pakalpojuma cena EUR bez PVN</t>
  </si>
  <si>
    <t>Elektrotransportlīdzekļu uzlādes pakalpojuma cena EUR ar PVN</t>
  </si>
  <si>
    <t>Plānotie ieņēmumi</t>
  </si>
  <si>
    <t>Izmaksas par elektroenerģiju kopā (EUR)</t>
  </si>
  <si>
    <t>Izmaksas par 1 uzlādē patērēto elektroenerģiju (EUR)</t>
  </si>
  <si>
    <t>Tieši attiecināmo ilgtermiņa ieguldījumu nolietojums gadā</t>
  </si>
  <si>
    <t>Apdrošināšanas izmaksas</t>
  </si>
  <si>
    <t>Pieslēguma maksa sistēmas operatoram (10 EUR mēnesī par 1 x uzlādes iekārtu)</t>
  </si>
  <si>
    <t>Uzlādes stacijas elektroenerģijas pašpatēriņš gadā (EUR) ((iekārtas pašpatēriņš 56W stundā (0,056kWh)) (0,056 x 24 x 365) x 1 kWh cena.</t>
  </si>
  <si>
    <t>Plānotais vidējais patērēto kWh skaits vienā uzlādē (1 stundai)</t>
  </si>
  <si>
    <t xml:space="preserve">Prognozētais uzlāžu skaits mēnesī (1 stacijas nodrošina 2 pieslēgšanās vienlaicīgi) </t>
  </si>
  <si>
    <t xml:space="preserve">Prognozētais uzlāžu skaits gadā (1 stacijas nodrošina 2 pieslēgšanās vienlaicīgi) </t>
  </si>
  <si>
    <t>Minūtēs (pieņemot, ka viena uzlāde ir 60 min)</t>
  </si>
  <si>
    <t xml:space="preserve">Izmaksas par elektroenerģiju aprēķins: </t>
  </si>
  <si>
    <t xml:space="preserve">Netiešās darba izmakas </t>
  </si>
  <si>
    <t>KOPĀ GADA IZMAKSAS</t>
  </si>
  <si>
    <t>Prognozēto pakalpojumu skaits minūtēs gadā</t>
  </si>
  <si>
    <t>Izmaksas par 1 kwh cena euro (EUR)*</t>
  </si>
  <si>
    <t>*Elektroenerģija 1 laika zonā/Izmaksas par 1 kwh cena euro</t>
  </si>
  <si>
    <t>*Maksa par elektroenerģijas piegādi/Izmaksas par 1 kwh cena euro</t>
  </si>
  <si>
    <t>Līgums par elektroauto uzlādes staciju un autostāvvietu t.sk. aprīkojuma uzturēšanu</t>
  </si>
  <si>
    <r>
      <t xml:space="preserve">Prognozētie ieņēmumi gadā </t>
    </r>
    <r>
      <rPr>
        <i/>
        <sz val="12"/>
        <color theme="1"/>
        <rFont val="Calibri Light"/>
        <family val="2"/>
        <scheme val="major"/>
      </rPr>
      <t>(euro)* (prognozētais maksas pakalpojumu skaits gadā, reizināts ar maksas pakalpojuma izcenojumu) bez PVN</t>
    </r>
  </si>
  <si>
    <r>
      <t xml:space="preserve">Maksas pakalpojuma izcenojums </t>
    </r>
    <r>
      <rPr>
        <i/>
        <sz val="12"/>
        <color theme="1"/>
        <rFont val="Calibri Light"/>
        <family val="2"/>
        <scheme val="major"/>
      </rPr>
      <t>(euro) (pakalpojuma izmaksas kopā, dalītas ar maksas pakalpojuma vienību skaitu noteiktā laikposmā)</t>
    </r>
  </si>
  <si>
    <t>7.1.</t>
  </si>
  <si>
    <t>7.2.</t>
  </si>
  <si>
    <t>7.3.</t>
  </si>
  <si>
    <t>7.4.</t>
  </si>
  <si>
    <t>Lietvedība ievietojot dok.lietvedības sistēmā</t>
  </si>
  <si>
    <t>Administratīvās daļas vadītāji</t>
  </si>
  <si>
    <t xml:space="preserve">Administratīvās daļas vadītāju algas likme kā uzraugam </t>
  </si>
  <si>
    <t xml:space="preserve">Uzraugs </t>
  </si>
  <si>
    <t>Datu sagatavošana rēķinu izrakstīšanai</t>
  </si>
  <si>
    <t>NĪ apdrošināšana</t>
  </si>
  <si>
    <t>Finansists</t>
  </si>
  <si>
    <t>Proporcija uz 1m2</t>
  </si>
  <si>
    <t>60 min.</t>
  </si>
  <si>
    <t>pārbaudot pret telpas lielumu</t>
  </si>
  <si>
    <t>Izmaksas gadā:</t>
  </si>
  <si>
    <t>IR</t>
  </si>
  <si>
    <t>administrācija</t>
  </si>
  <si>
    <t>Telpu izmantošana Pārvaldes Aiviekstes iela 3, Ļaudona, Ļaudonas pag.</t>
  </si>
  <si>
    <t>Ķieģeļu</t>
  </si>
  <si>
    <t>Apkure (siltums)</t>
  </si>
  <si>
    <t>Pavadzīme</t>
  </si>
  <si>
    <t>31.05.2024.</t>
  </si>
  <si>
    <t>Rēķins</t>
  </si>
  <si>
    <t>31.01.2024.</t>
  </si>
  <si>
    <t>05.01.2024.</t>
  </si>
  <si>
    <t>28.03.2024.</t>
  </si>
  <si>
    <t>Daļas vadītājs</t>
  </si>
  <si>
    <t>Telpu izmantošana Pārvaldes Baznīcas iela 7, Sigulda, Siguldas nov., LV-2150</t>
  </si>
  <si>
    <t xml:space="preserve"> Lielā zāle (75,1 m2)</t>
  </si>
  <si>
    <t>Baznīcas iela 7, Sigulda, Siguldas novads</t>
  </si>
  <si>
    <t>Biroju ēka 80150021802009</t>
  </si>
  <si>
    <t>2008</t>
  </si>
  <si>
    <t>Ēkas kopējā platība (m2)</t>
  </si>
  <si>
    <t>Kokmateriāli</t>
  </si>
  <si>
    <t>Stundā uz visu biroju</t>
  </si>
  <si>
    <t>N.izm.</t>
  </si>
  <si>
    <t>T.izm.</t>
  </si>
  <si>
    <t>Apdrošināmā objekta adrese</t>
  </si>
  <si>
    <t>Nosaukums un kadastra apzīmējums</t>
  </si>
  <si>
    <t>Ēkas kopējā platība kv.m.</t>
  </si>
  <si>
    <t>Izmantošana</t>
  </si>
  <si>
    <t>Ēkas būvniecības gads / kapitālā remonta gads</t>
  </si>
  <si>
    <t>Atjaunošanas vērtība</t>
  </si>
  <si>
    <t>Ēku atjaunošanas vērtība / Apdrošinājuma summa, EUR</t>
  </si>
  <si>
    <t>Ēkas būvniecības materiāls</t>
  </si>
  <si>
    <t>Personāla izmaksas pakalpojumu nodrošināsanai</t>
  </si>
  <si>
    <t>15.1 A</t>
  </si>
  <si>
    <t>Atalgojums (Datu apstrāde)</t>
  </si>
  <si>
    <t>1 h likme</t>
  </si>
  <si>
    <t>1 min. likme</t>
  </si>
  <si>
    <t>Paterētais laiks pakalpojumu nodrošināšanā (minūtēs)</t>
  </si>
  <si>
    <t>3 V</t>
  </si>
  <si>
    <t>Vecākais eksperts</t>
  </si>
  <si>
    <t>Lietvedība (datu sagatvošana rēķinu izrakstīšanai)</t>
  </si>
  <si>
    <t>Vecākais lietvedis</t>
  </si>
  <si>
    <t>20.3 II</t>
  </si>
  <si>
    <t>Līgumu sagatvošana</t>
  </si>
  <si>
    <t>Telpu sagatvošana pirms iznomāšanas</t>
  </si>
  <si>
    <t>Telpu pieņemšana</t>
  </si>
  <si>
    <t>Telpu nodošana</t>
  </si>
  <si>
    <t>bez soc.nod.</t>
  </si>
  <si>
    <t>Personāla izmaksas pakalpojumu nodrošināšanai:</t>
  </si>
  <si>
    <t>Dabas izglītības speciālists</t>
  </si>
  <si>
    <t>Departamenta direktors</t>
  </si>
  <si>
    <t>26 IVA</t>
  </si>
  <si>
    <t>Dokumentu parakstīšana (līgumu parakstīšana)</t>
  </si>
  <si>
    <t>36 V</t>
  </si>
  <si>
    <t>Vecākais dabas izglītības speciālists</t>
  </si>
  <si>
    <t>36 III</t>
  </si>
  <si>
    <t>36 II</t>
  </si>
  <si>
    <t>Sagatvošanās nodarbībai (no nodarbību pieteikšanas, informācijas apzināšana tēmai, cilvēku skaitam, datu iegūšana un datu sagatvošanai rēķinu izrakstīšanai) Materiālu sagatvošana. Nodarbību vadīšana.</t>
  </si>
  <si>
    <t>Nodaļas vadītājs (medodiķis)</t>
  </si>
  <si>
    <t>Tēmas izstrādei informācijas apzināšana. Datu iegūšana un datu sagatvošanai rēķinu izrakstīšanai.</t>
  </si>
  <si>
    <t>1 nodarbības tēmu izstrāde (metodiķis). Nodarbības plānu izstrāde aizņem vidēji  līdz 2,5 stundām.</t>
  </si>
  <si>
    <t>Komunikācijas speciālists</t>
  </si>
  <si>
    <t>26 II</t>
  </si>
  <si>
    <t>Fotoattēla atrašana arhīvā, fotoattēla apstrāde. Rekvizītu datu apstrāde, līguma sagatavoša.</t>
  </si>
  <si>
    <t xml:space="preserve">Vadošais eksperts </t>
  </si>
  <si>
    <t xml:space="preserve">Nodaļas vadītājs </t>
  </si>
  <si>
    <t>Zemes nomas sākotnējā izskatīšana NĪ izvērtēšanas komisijā (1 h komisijas darbs).</t>
  </si>
  <si>
    <t>Direktors</t>
  </si>
  <si>
    <t>Dokumentu sagatvošana komisijas darbam zemes nomas sākotnējai izskatīšanai NĪ izvērtēšanas komisijai; līgumu sagatavošana.</t>
  </si>
  <si>
    <t>Zemes nomas pārjaunošanas izskatīšana NĪ izvērtēšanas komisijā ( komisijas darbs).</t>
  </si>
  <si>
    <t xml:space="preserve">Dokumentu sagatvošana komisijas darbam zemes nomas pārjaunošanas izskatīšanai NĪ izvērtēšanas komisijā, līgumu grozījumu sagatavošana. </t>
  </si>
  <si>
    <t xml:space="preserve">Dokumentu sagatvošana komisijas darbam zemes nomas paplašināšanas izskatīšanai NĪ izvērtēšanas komisijā, līgumu grozījumu sagatavošana. </t>
  </si>
  <si>
    <t>Zemes nomas līguma priekšmeta paplašināšanas izskatīšana NĪ izvērtēšanas komisijā ( komisijas darbs).</t>
  </si>
  <si>
    <t>Vizītes uzraudzība (divu ekspertu vidējā atlīdzība)</t>
  </si>
  <si>
    <t>4. Dabas izglītības pakalpojumi</t>
  </si>
  <si>
    <t>Reģionu direktors</t>
  </si>
  <si>
    <t>Līgumu parakstīšana</t>
  </si>
  <si>
    <t>Līgumu sagatvošana (vietu ierādīšana)</t>
  </si>
  <si>
    <t>*</t>
  </si>
  <si>
    <t>ietver visas EKK</t>
  </si>
  <si>
    <t>Viena cilvēka atalgojums dienā (9,03 eur/H*8)</t>
  </si>
  <si>
    <t>Administratīvās daļa (apsekojot objektu pirms/pēc)</t>
  </si>
  <si>
    <t>Atkritumu izmaksas 1 m3</t>
  </si>
  <si>
    <t>Līgatnes dabas takas</t>
  </si>
  <si>
    <t>1219 27</t>
  </si>
  <si>
    <t>D</t>
  </si>
  <si>
    <t>Ilmārs Radziņš</t>
  </si>
  <si>
    <t>Vadītāja vietnieks</t>
  </si>
  <si>
    <t>1219 28</t>
  </si>
  <si>
    <t>3 IV</t>
  </si>
  <si>
    <t>Elza Lote Buša</t>
  </si>
  <si>
    <t>Nekustamā īpašuma speciālists</t>
  </si>
  <si>
    <t>3334 09</t>
  </si>
  <si>
    <t>3 I</t>
  </si>
  <si>
    <t>vakance</t>
  </si>
  <si>
    <t>Jānis Kalnietis</t>
  </si>
  <si>
    <t>Normunds Brenčs</t>
  </si>
  <si>
    <t>Savvaļas dzīvnieku kopējs</t>
  </si>
  <si>
    <t>6129 03</t>
  </si>
  <si>
    <t>16 V</t>
  </si>
  <si>
    <t>Antra Sproģe</t>
  </si>
  <si>
    <t>Vitālijs Kuzņecovs</t>
  </si>
  <si>
    <t>Dabas aizsardzības vecākais speciālists, zootehniķis</t>
  </si>
  <si>
    <t>2133 02</t>
  </si>
  <si>
    <t>Velga Vītola</t>
  </si>
  <si>
    <t>Dabas izglītības un informācijas speciālists</t>
  </si>
  <si>
    <t>T.IZMAKSAS</t>
  </si>
  <si>
    <t>Vadītājs</t>
  </si>
  <si>
    <t>Atalgojums mēnesī</t>
  </si>
  <si>
    <t>veselības apdrošināšana (9 x 500 euro)</t>
  </si>
  <si>
    <t>2423 10</t>
  </si>
  <si>
    <t>37 II</t>
  </si>
  <si>
    <t>Eva Ezeraša</t>
  </si>
  <si>
    <t>Komunikācijas un dabas izglītības departaments</t>
  </si>
  <si>
    <t>Netiešās izmaksas gadā (LDT nodrošināsanai iesaistītie darbinieki)</t>
  </si>
  <si>
    <t>36 VI</t>
  </si>
  <si>
    <t>Rēķinu apstrāde</t>
  </si>
  <si>
    <t>15.1 IV B</t>
  </si>
  <si>
    <t>Maksājumu apstrāde (saskaņošana/apstiprināšana), budžeta uzraudzība.</t>
  </si>
  <si>
    <t>Uzraudzība (līguma parakstīšana, rēķinu saskaņošana)</t>
  </si>
  <si>
    <t>Izmaksas mēnesī</t>
  </si>
  <si>
    <t>mēnesī izmaksas</t>
  </si>
  <si>
    <t>gada izmaksas</t>
  </si>
  <si>
    <t>ĢD</t>
  </si>
  <si>
    <t>Rēķinu paraktīšana/izskatīšana</t>
  </si>
  <si>
    <t>Vidēji 35 darījumi mēnesī (patērētais laiks)</t>
  </si>
  <si>
    <t>MUIZ</t>
  </si>
  <si>
    <t>3-00038</t>
  </si>
  <si>
    <t>Zeit, SIA</t>
  </si>
  <si>
    <t>1310.40 EUR</t>
  </si>
  <si>
    <t>Grāmatots</t>
  </si>
  <si>
    <t>Rēķins nr. Zeit 24 001, Par izpildītiem darbiem-LDT apmeklējuma biļešu tirdzniec</t>
  </si>
  <si>
    <t>VRA</t>
  </si>
  <si>
    <t>2239</t>
  </si>
  <si>
    <t>3-00641</t>
  </si>
  <si>
    <t>1112.64 EUR</t>
  </si>
  <si>
    <t>Rēķins nr. ZEIT 24 015, Par izpildītiem darbiem-LDT apmeklējuma biļešu tirdzniec</t>
  </si>
  <si>
    <t>3-01135</t>
  </si>
  <si>
    <t>1620.60 EUR</t>
  </si>
  <si>
    <t>Rēķins nr. Zeit 24 064, Par izpildītiem darbiem-LDT apmeklējuma biļešu tirdzniec</t>
  </si>
  <si>
    <t>3-01565</t>
  </si>
  <si>
    <t>5360.64 EUR</t>
  </si>
  <si>
    <t>Rēķins nr. Zeit 24 094, Par izpildītiem darbiem-LDT apmeklējuma biļešu tirdzniec</t>
  </si>
  <si>
    <t>3-02051</t>
  </si>
  <si>
    <t>3711.36 EUR</t>
  </si>
  <si>
    <t>Rēķins nr. Zeit 24 166, Par izpildītiem darbiem-LDT apmeklējuma biļešu tirdzniec</t>
  </si>
  <si>
    <t>3-02576</t>
  </si>
  <si>
    <t>6796.20 EUR</t>
  </si>
  <si>
    <t>Rēķins nr. Zeit 24 221, Par izpildītiem darbiem-LDT apmeklējuma biļešu tirdzniec</t>
  </si>
  <si>
    <t>3-03055</t>
  </si>
  <si>
    <t>4720.92 EUR</t>
  </si>
  <si>
    <t>Rēķins nr. Zeit 24 277, Par izpildītiem darbiem-LDT apmeklējuma biļešu tirdzniec</t>
  </si>
  <si>
    <t>3-03477</t>
  </si>
  <si>
    <t>6342.72 EUR</t>
  </si>
  <si>
    <t>Rēķins nr. Zeit 24 333, Par izpildītiem darbiem-LDT apmeklējuma biļešu tirdzniec</t>
  </si>
  <si>
    <t>3-04177</t>
  </si>
  <si>
    <t>7330.20 EUR</t>
  </si>
  <si>
    <t>Rēķins nr. Zeit 24 371, Par izpildītiem darbiem-LDT apmeklējuma biļešu tirdzniec</t>
  </si>
  <si>
    <t>3-04731</t>
  </si>
  <si>
    <t>7577.16 EUR</t>
  </si>
  <si>
    <t>Rēķins nr. Zeit 24 421, Par izpildītiem darbiem-LDT apmeklējuma biļešu tirdzniec</t>
  </si>
  <si>
    <t>3-05207</t>
  </si>
  <si>
    <t>10272.12 EUR</t>
  </si>
  <si>
    <t>Rēķins nr. Zeit 24 466, Par izpildītiem darbiem-LDT apmeklējuma biļešu tirdzniec</t>
  </si>
  <si>
    <t>3-05989</t>
  </si>
  <si>
    <t>1430.16 EUR</t>
  </si>
  <si>
    <t>Rēķins nr. Zeit 24 517, Par izpildītiem darbiem-LDT apmeklējuma biļešu tirdzniec</t>
  </si>
  <si>
    <t>Tiešie izdevumi:</t>
  </si>
  <si>
    <t>3-00010</t>
  </si>
  <si>
    <t>Līgatnes ābele SIA</t>
  </si>
  <si>
    <t>159.10 EUR</t>
  </si>
  <si>
    <t>Rēķins nr. LAB 23479, Dārzeņi LDT- burkāni, āboli, līg.7.7/570/2021 Rēķ. dat.27.</t>
  </si>
  <si>
    <t>2390</t>
  </si>
  <si>
    <t>3-00011</t>
  </si>
  <si>
    <t>Ēriks Kaupužs</t>
  </si>
  <si>
    <t>70.00 EUR</t>
  </si>
  <si>
    <t>Rēķins nr. 132, Barība, EKK2390, līg.7.7/181/2021  Rēķ. dat.17.12.2023.</t>
  </si>
  <si>
    <t>3-00013</t>
  </si>
  <si>
    <t>Maiznīca FLORA SIA</t>
  </si>
  <si>
    <t>24.74 EUR</t>
  </si>
  <si>
    <t>Rēķins nr. F23-047338, Barība, EKK 2390, līg.7.7/458/2023 Rēķ. dat.28.12.2023.</t>
  </si>
  <si>
    <t>3-00014</t>
  </si>
  <si>
    <t>Bertas nams SIA</t>
  </si>
  <si>
    <t>231.35 EUR</t>
  </si>
  <si>
    <t>Rēķins nr. BN141807, Barība, EKK 2390, līg.7.7/170/2021 Rēķ. dat.19.12.2023.</t>
  </si>
  <si>
    <t>3-00016</t>
  </si>
  <si>
    <t>Rēķins nr. F23-046668, Barība, EKK 2390, līg.7.7/458/2023 Rēķ. dat.21.12.2023.</t>
  </si>
  <si>
    <t>3-00017</t>
  </si>
  <si>
    <t>VetLine Medical, SIA</t>
  </si>
  <si>
    <t>931.70 EUR</t>
  </si>
  <si>
    <t>Rēķins nr. VLM233459, Barība, EKK 2390, līg.Nr.7.7/525/2021 Rēķ. dat.28.12.2023.</t>
  </si>
  <si>
    <t>3-00019</t>
  </si>
  <si>
    <t>Rēķins nr. 133, Barība, EKK2390, līg.7.7/181/2021  Rēķ. dat.31.12.2023.</t>
  </si>
  <si>
    <t>3-00160</t>
  </si>
  <si>
    <t>Rēķins nr. F24-000299, Barība, EKK 2390, līg.7.7/157/2021 Rēķ. dat.04.01.2024.</t>
  </si>
  <si>
    <t>3-00161</t>
  </si>
  <si>
    <t>Rēķins nr. F24-001242, Barība, EKK 2390, līg.7.7/157/2021 Rēķ. dat.11.01.2024.</t>
  </si>
  <si>
    <t>3-00178</t>
  </si>
  <si>
    <t>Rēķins nr. 134, Barība, EKK2390, līg.7.7/181/2021  Rēķ. dat.14.01.2024.</t>
  </si>
  <si>
    <t>3-00179</t>
  </si>
  <si>
    <t>Rēķins nr. F24-002009, Barība, EKK 2390, līg.7.7/157/2021 Rēķ. dat.18.01.2024.</t>
  </si>
  <si>
    <t>3-00525</t>
  </si>
  <si>
    <t>138.01 EUR</t>
  </si>
  <si>
    <t>Rēķins nr. LAB 24040, Dārzeņi LDT- burkāni, āboli, līg.7.7/570/2021 Rēķ. dat.22.</t>
  </si>
  <si>
    <t>3-00526</t>
  </si>
  <si>
    <t>Rēķins nr. F24-002847, Barība, EKK 2390, līg.7.7/458/2023 Rēķ. dat.25.01.2024.</t>
  </si>
  <si>
    <t>3-00545</t>
  </si>
  <si>
    <t>Rēķins nr. F24-003799, Barība, EKK 2390, līg.7.7/458/2023 Rēķ. dat.01.02.2024.</t>
  </si>
  <si>
    <t>3-00546</t>
  </si>
  <si>
    <t>Rēķins nr. 135, Barība, EKK2390, līg.7.7/181/2021  Rēķ. dat.28.01.2024.</t>
  </si>
  <si>
    <t>3-00588</t>
  </si>
  <si>
    <t>Rēķins nr. F24-004548, Barība, EKK 2390, līg.7.7/458/2023 Rēķ. dat.08.02.2024.</t>
  </si>
  <si>
    <t>3-00711</t>
  </si>
  <si>
    <t>Rēķins nr. 136, Barība, EKK2390, līg.7.7/181/2021  Rēķ. dat.11.02.2024.</t>
  </si>
  <si>
    <t>V</t>
  </si>
  <si>
    <t>3-00726</t>
  </si>
  <si>
    <t>TIM-T, SIA</t>
  </si>
  <si>
    <t>519.04 EUR</t>
  </si>
  <si>
    <t>Rēķins nr. VIS24 02176, Barība, EKK 2390, līg.Nr.7.7/58/2024 Rēķ. dat.13.02.2024</t>
  </si>
  <si>
    <t>3-00727</t>
  </si>
  <si>
    <t>Rēķins nr. F24-005331, Barība, EKK 2390, līg.7.7/458/2023 Rēķ. dat.15.02.2024.</t>
  </si>
  <si>
    <t>3-00769</t>
  </si>
  <si>
    <t>110.21 EUR</t>
  </si>
  <si>
    <t>Rēķins nr. LAB 24086, Dārzeņi LDT- burkāni, āboli, līg.7.7/570/2021 Rēķ. dat.19.</t>
  </si>
  <si>
    <t>3-00772</t>
  </si>
  <si>
    <t>Rēķins nr. F24-006213, Barība, EKK 2390, līg.7.7/458/2023 Rēķ. dat.22.02.2024.</t>
  </si>
  <si>
    <t>3-00993</t>
  </si>
  <si>
    <t>Rēķins nr. 137, Barība, EKK2390, līg.7.7/181/2021  Rēķ. dat.25.02.2024.</t>
  </si>
  <si>
    <t>3-01017</t>
  </si>
  <si>
    <t>Rēķins nr. F24-007060, Barība, EKK 2390, līg.7.7/458/2023 Rēķ. dat.29.02.2024.</t>
  </si>
  <si>
    <t>3-01056</t>
  </si>
  <si>
    <t>Rēķins nr. F24-007999, Barība, EKK 2390, līg.7.7/458/2023 Rēķ. dat.07.03.2024.</t>
  </si>
  <si>
    <t>3-01126</t>
  </si>
  <si>
    <t>Rēķins nr. 138, Barība, EKK2390, līg.7.7/181/2021  Rēķ. dat.10.03.2024.</t>
  </si>
  <si>
    <t>3-01156</t>
  </si>
  <si>
    <t>SALAS ZIVIS, SIA</t>
  </si>
  <si>
    <t>235.95 EUR</t>
  </si>
  <si>
    <t>Rēķins nr. SZV394053, Barība, EKK2390 Rēķ. dat.13.03.2024.</t>
  </si>
  <si>
    <t>3-01158</t>
  </si>
  <si>
    <t>462.70 EUR</t>
  </si>
  <si>
    <t>Rēķins nr. BN147464, Barība, EKK 2390, līg.7.7/170/2021 Rēķ. dat.12.03.2024.</t>
  </si>
  <si>
    <t>3-01225</t>
  </si>
  <si>
    <t>Rēķins nr. F24-008728, Barība, EKK 2390, līg.7.7/458/2023 Rēķ. dat.14.03.2024.</t>
  </si>
  <si>
    <t>3-01233</t>
  </si>
  <si>
    <t>Rēķins nr. F24-009624, Barība, EKK 2390, līg.7.7/458/2023 Rēķ. dat.21.03.2024.</t>
  </si>
  <si>
    <t>3-01236</t>
  </si>
  <si>
    <t>146.23 EUR</t>
  </si>
  <si>
    <t>Rēķins nr. LAB 24128, Dārzeņi LDT- burkāni, āboli, līg.7.7/570/2021 Rēķ. dat.18.</t>
  </si>
  <si>
    <t>3-01502</t>
  </si>
  <si>
    <t>577.84 EUR</t>
  </si>
  <si>
    <t>Rēķins nr. VIS24 04487, Barība, EKK 2390, līg.Nr.7.7/58/2024</t>
  </si>
  <si>
    <t>3-01527</t>
  </si>
  <si>
    <t xml:space="preserve">Rēķins nr. 139, Barība, EKK2390, līg.7.7/181/2021  </t>
  </si>
  <si>
    <t>3-01562</t>
  </si>
  <si>
    <t xml:space="preserve">Rēķins nr. F24-010492, Barība, EKK 2390, līg.7.7/458/2023 </t>
  </si>
  <si>
    <t>3-01563</t>
  </si>
  <si>
    <t xml:space="preserve">Rēķins nr. F24-011333, Barība, EKK 2390, līg.7.7/458/2023 </t>
  </si>
  <si>
    <t>3-01645</t>
  </si>
  <si>
    <t>Rēķins nr. 140, Barība, EKK2390, līg.7.7/181/2021  Rēķ. dat.07.04.2024.</t>
  </si>
  <si>
    <t>3-01646</t>
  </si>
  <si>
    <t>Rēķins nr. 141, Barība, EKK2390, līg.7.7/181/2021  Rēķ. dat.14.04.2024.</t>
  </si>
  <si>
    <t>3-01695</t>
  </si>
  <si>
    <t>Intipa GmbH</t>
  </si>
  <si>
    <t>13170.95 EUR</t>
  </si>
  <si>
    <t>Rēķins nr. RE240282, Barība, EKK2390, Kunden Nr.31815, līg.7.7/91/2023 Rēķ. dat.</t>
  </si>
  <si>
    <t>3-01696</t>
  </si>
  <si>
    <t>Valsts budžets (VID)</t>
  </si>
  <si>
    <t>2765.90 EUR</t>
  </si>
  <si>
    <t xml:space="preserve">PVN likuma PVN apgrieztā maksāšanas kārtība,141.pants, Intipa GmbH DE340316609, </t>
  </si>
  <si>
    <t>3-01697</t>
  </si>
  <si>
    <t>Rēķins nr. F24-013107, Barība, EKK 2390, līg.7.7/458/2023 Rēķ. dat.18.04.2024.</t>
  </si>
  <si>
    <t>3-01706</t>
  </si>
  <si>
    <t>264.26 EUR</t>
  </si>
  <si>
    <t>Rēķins nr. SZV400461, Barība, EKK2390 Rēķ. dat.24.04.2024.</t>
  </si>
  <si>
    <t>3-01707</t>
  </si>
  <si>
    <t>722.64 EUR</t>
  </si>
  <si>
    <t>Rēķins nr. VIS24 05899, Barība, EKK 2390, līg.Nr.7.7/58/2024 Rēķ. dat.23.04.2024</t>
  </si>
  <si>
    <t>3-01704</t>
  </si>
  <si>
    <t>Rēķins nr. F24-012482, Barība, EKK 2390, līg.7.7/458/2023 Rēķ. dat.11.04.2024.</t>
  </si>
  <si>
    <t>3-01705</t>
  </si>
  <si>
    <t>Rēķins nr. F24-013991, Barība, EKK 2390, līg.7.7/458/2023 Rēķ. dat.25.04.2024.</t>
  </si>
  <si>
    <t>3-01961</t>
  </si>
  <si>
    <t>Rēķins nr. F24-014811, Barība, EKK 2390, līg.7.7/458/2023 Rēķ. dat.02.05.2024.</t>
  </si>
  <si>
    <t>3-01962</t>
  </si>
  <si>
    <t>234.98 EUR</t>
  </si>
  <si>
    <t>Rēķins nr. LAB 24164, Dārzeņi LDT- burkāni, āboli, līg.7.7/570/2021 Rēķ. dat.29.</t>
  </si>
  <si>
    <t>3-01960</t>
  </si>
  <si>
    <t>LAT AGRO, SIA</t>
  </si>
  <si>
    <t>435.60 EUR</t>
  </si>
  <si>
    <t>Rēķins nr. LATA-1078, Auzas, KK2390 Rēķ. dat.26.04.2024.</t>
  </si>
  <si>
    <t>3-02096</t>
  </si>
  <si>
    <t>Rēķins nr. F24-015636, Barība, EKK 2390, līg.7.7/458/2023 Rēķ. dat.09.05.2024.</t>
  </si>
  <si>
    <t>PRA</t>
  </si>
  <si>
    <t>3-02097</t>
  </si>
  <si>
    <t>104.00 EUR</t>
  </si>
  <si>
    <t>Rēķins nr. 142, Barība, EKK2390, līg.7.7/181/2021  Rēķ. dat.28.04.2024.</t>
  </si>
  <si>
    <t>CA</t>
  </si>
  <si>
    <t>3-02098</t>
  </si>
  <si>
    <t>80.00 EUR</t>
  </si>
  <si>
    <t>Rēķins nr. 143, Barība, EKK2390, līg.7.7/181/2021  Rēķ. dat.12.05.2024.</t>
  </si>
  <si>
    <t>3-02113</t>
  </si>
  <si>
    <t>Rēķins nr. F24-016500, Barība, EKK 2390, līg.7.7/458/2023 Rēķ. dat.16.05.2024.</t>
  </si>
  <si>
    <t>3-02143</t>
  </si>
  <si>
    <t>Rēķins nr. F24-017374, Barība, EKK 2390, līg.7.7/458/2023 Rēķ. dat.23.05.2024.</t>
  </si>
  <si>
    <t>3-02438</t>
  </si>
  <si>
    <t>Rēķins nr. SZV405993, Barība, EKK2390 Rēķ. dat.29.05.2024.</t>
  </si>
  <si>
    <t>3-02439</t>
  </si>
  <si>
    <t>118.54 EUR</t>
  </si>
  <si>
    <t>Rēķins nr. LAB 24181, Dārzeņi LDT- burkāni, āboli, līg.7.7/570/2021 Rēķ. dat.27.</t>
  </si>
  <si>
    <t>3-02440</t>
  </si>
  <si>
    <t>Rēķins nr. F24-018238, Barība, EKK 2390, līg.7.7/458/2023 Rēķ. dat.30.05.2024.</t>
  </si>
  <si>
    <t>3-02441</t>
  </si>
  <si>
    <t>Rēķins nr. 144, Barība, EKK2390, līg.7.7/181/2021  Rēķ. dat.26.05.2024.</t>
  </si>
  <si>
    <t>3-02558</t>
  </si>
  <si>
    <t>Rēķins nr. 145, Barība, EKK2390, līg.7.7/181/2021  Rēķ. dat.09.06.2024.</t>
  </si>
  <si>
    <t>3-02557</t>
  </si>
  <si>
    <t>Rēķins nr. F24-019042, Barība, EKK 2390, līg.7.7/458/2023 Rēķ. dat.06.06.2024.</t>
  </si>
  <si>
    <t>3-02648</t>
  </si>
  <si>
    <t>Rēķins nr. F24-019893, Barība, EKK 2390, līg.7.7/458/2023 Rēķ. dat.13.06.2024.</t>
  </si>
  <si>
    <t>3-02649</t>
  </si>
  <si>
    <t>Rēķins nr. F24-020729, Barība, EKK 2390, līg.7.7/458/2023 Rēķ. dat.20.06.2024.</t>
  </si>
  <si>
    <t>3-03051</t>
  </si>
  <si>
    <t xml:space="preserve">Rēķins nr. 146, Barība, EKK2390, līg.7.7/216/2024  </t>
  </si>
  <si>
    <t>3-03053</t>
  </si>
  <si>
    <t xml:space="preserve">Rēķins nr. F24-021398, Barība, EKK 2390, līg.7.7/458/2023 </t>
  </si>
  <si>
    <t>3-03057</t>
  </si>
  <si>
    <t xml:space="preserve">Rēķins nr. SZV410286, Barība, EKK2390 </t>
  </si>
  <si>
    <t>3-03058</t>
  </si>
  <si>
    <t>928.37 EUR</t>
  </si>
  <si>
    <t xml:space="preserve">Rēķins nr. VIS24 09354, Barība, EKK 2390, līg.Nr.7.7/58/2024 </t>
  </si>
  <si>
    <t>3-03060</t>
  </si>
  <si>
    <t>82.40 EUR</t>
  </si>
  <si>
    <t xml:space="preserve">Rēķins nr. 147, Barība, EKK2390, līg.7.7/216/2024 </t>
  </si>
  <si>
    <t>3-03061</t>
  </si>
  <si>
    <t>Rēķins nr. F24-022124, Barība, EKK 2390, līg.7.7/458/2023</t>
  </si>
  <si>
    <t>3-03067</t>
  </si>
  <si>
    <t>78.87 EUR</t>
  </si>
  <si>
    <t xml:space="preserve">Rēķins nr. LAB 24196, Dārzeņi LDT- burkāni, āboli, līg.7.7/570/2021 </t>
  </si>
  <si>
    <t>3-03085</t>
  </si>
  <si>
    <t>12951.50 EUR</t>
  </si>
  <si>
    <t>Rēķins nr. RE242601, Barība, EKK2390, Kunden Nr.31815, līg.7.7/91/2023 Rēķ. dat.</t>
  </si>
  <si>
    <t>3-03086</t>
  </si>
  <si>
    <t>2719.82 EUR</t>
  </si>
  <si>
    <t>3-03092</t>
  </si>
  <si>
    <t>Rēķins nr. F24-022945, Barība, EKK 2390, līg.7.7/458/2023 Rēķ. dat.11.07.2024.</t>
  </si>
  <si>
    <t>3-03139</t>
  </si>
  <si>
    <t>Rēķins nr. F24-023749, Barība, EKK 2390, līg.7.7/458/2023 Rēķ. dat.18.07.2024.</t>
  </si>
  <si>
    <t>3-03140</t>
  </si>
  <si>
    <t>Rēķins nr. 148, Barība, EKK2390, līg.7.7/216/2024  Rēķ. dat.21.07.2024.</t>
  </si>
  <si>
    <t>3-03147</t>
  </si>
  <si>
    <t>Rēķins nr. VLM241960, Barība, EKK 2390, līg.Nr.7.7/525/2021 Rēķ. dat.15.07.2024.</t>
  </si>
  <si>
    <t>3-03381</t>
  </si>
  <si>
    <t>Rēķins nr. F24-024609, Barība, EKK 2390, līg.7.7/458/2023 Rēķ. dat.25.07.2024.</t>
  </si>
  <si>
    <t>3-03421</t>
  </si>
  <si>
    <t>915.57 EUR</t>
  </si>
  <si>
    <t>Rēķins nr. VIS24 11434, Barība, EKK 2390, līg.Nr.7.7/58/2024 Rēķ. dat.31.07.2024</t>
  </si>
  <si>
    <t>3-03432</t>
  </si>
  <si>
    <t>99.05 EUR</t>
  </si>
  <si>
    <t>Rēķins nr. LAB 24208, Dārzeņi LDT- burkāni, āboli, līg.7.7/570/2021 Rēķ. dat.23.</t>
  </si>
  <si>
    <t>3-03441</t>
  </si>
  <si>
    <t>Rēķins nr. F24-025353, Barība, EKK 2390, līg.7.7/458/2023 Rēķ. dat.01.08.2024.</t>
  </si>
  <si>
    <t>3-03589</t>
  </si>
  <si>
    <t>Rēķins nr. SZV415925, Barība, EKK2390 Rēķ. dat.31.07.2024.</t>
  </si>
  <si>
    <t>3-03633</t>
  </si>
  <si>
    <t>Rēķins nr. 149, Barība, EKK2390, līg.7.7/216/2024  Rēķ. dat.04.08.2024.</t>
  </si>
  <si>
    <t>3-03656</t>
  </si>
  <si>
    <t xml:space="preserve">Rēķins nr. F24-026155, Barība, EKK 2390, līg.7.7/458/2023 </t>
  </si>
  <si>
    <t>3-03703</t>
  </si>
  <si>
    <t xml:space="preserve">Rēķins nr. F24-026827, Barība, EKK 2390, līg.7.7/458/2023 </t>
  </si>
  <si>
    <t>3-03942</t>
  </si>
  <si>
    <t>Rēķins nr. F24-027798, Barība, EKK 2390, līg.7.7/458/2023 Rēķ. dat.22.08.2024.</t>
  </si>
  <si>
    <t>3-03943</t>
  </si>
  <si>
    <t>Rēķins nr. 150, Barība, EKK2390, līg.7.7/216/2024  Rēķ. dat.18.08.2024.</t>
  </si>
  <si>
    <t>3-03983</t>
  </si>
  <si>
    <t>104.85 EUR</t>
  </si>
  <si>
    <t>Rēķins nr. LAB 24220, Dārzeņi LDT- burkāni, āboli, līg.7.7/570/2021 Rēķ. dat.21.</t>
  </si>
  <si>
    <t>3-03994</t>
  </si>
  <si>
    <t>Rēķins nr. 151, Barība, EKK2390, līg.7.7/181/2021  Rēķ. dat.01.09.2024.</t>
  </si>
  <si>
    <t>3-03996</t>
  </si>
  <si>
    <t>Rēķins nr. F24-028669, Barība, EKK 2390, līg.7.7/458/2023 Rēķ. dat.29.08.2024.</t>
  </si>
  <si>
    <t>3-04159</t>
  </si>
  <si>
    <t>164.56 EUR</t>
  </si>
  <si>
    <t>Rēķins nr. VIS24 13811, Barība, EKK 2390, līg.Nr.7.7/58/2024 Rēķ. dat.04.09.2024</t>
  </si>
  <si>
    <t>3-04168</t>
  </si>
  <si>
    <t>Rēķins nr. F24-029482, Barība, EKK 2390, līg.7.7/458/2023 Rēķ. dat.05.09.2024.</t>
  </si>
  <si>
    <t>3-04169</t>
  </si>
  <si>
    <t>Rēķins nr. SZV421609, Barība, EKK2390 Rēķ. dat.04.09.2024.</t>
  </si>
  <si>
    <t>3-04170</t>
  </si>
  <si>
    <t>Rēķins nr. 152, Barība, EKK2390, līg.7.7/181/2021  Rēķ. dat.15.09.2024.</t>
  </si>
  <si>
    <t>3-04176</t>
  </si>
  <si>
    <t>Rēķins nr. F24-031142, Barība, EKK 2390, līg.7.7/458/2023 Rēķ. dat.12.09.2024.</t>
  </si>
  <si>
    <t>3-04249</t>
  </si>
  <si>
    <t>684.05 EUR</t>
  </si>
  <si>
    <t>Rēķins nr. VIS24 14543, Barība, EKK 2390, līg.Nr.7.7/58/2024 Rēķ. dat.16.09.2024</t>
  </si>
  <si>
    <t>3-04260</t>
  </si>
  <si>
    <t>Rēķins nr. 153, Barība, EKK2390, līg.7.7/216/2024  Rēķ. dat.22.09.2024.</t>
  </si>
  <si>
    <t>3-04274</t>
  </si>
  <si>
    <t>Rēķins nr. F24-030922, Barība, EKK 2390, līg.7.7/458/2023 Rēķ. dat.19.09.2024.</t>
  </si>
  <si>
    <t>3-04564</t>
  </si>
  <si>
    <t>Rēķins nr. F24-031893, Barība, EKK 2390, līg.7.7/458/2023 Rēķ. dat.26.09.2024.</t>
  </si>
  <si>
    <t>3-04632</t>
  </si>
  <si>
    <t>BRUSE Rīgas pilsētas A.Lācgalvja daudznozaru, Individuālais uzņēmums</t>
  </si>
  <si>
    <t>4386.25 EUR</t>
  </si>
  <si>
    <t>Rēķins nr. 1483, Par zaru slotiņām, KK2390 Rēķ. dat.04.10.2024.</t>
  </si>
  <si>
    <t>3-04633</t>
  </si>
  <si>
    <t>Rēķins nr. 154, Barība, EKK2390, līg.7.7/216/2024  Rēķ. dat.06.10.2024.</t>
  </si>
  <si>
    <t>3-04691</t>
  </si>
  <si>
    <t>Rēķins nr. F24-032698, Barība, EKK 2390, līg.7.7/458/2023 Rēķ. dat.03.10.2024.</t>
  </si>
  <si>
    <t>3-04693</t>
  </si>
  <si>
    <t>136.33 EUR</t>
  </si>
  <si>
    <t>Rēķins nr. LAB 24249, Dārzeņi LDT- burkāni, āboli, līg.7.7/570/2021 Rēķ. dat.30.</t>
  </si>
  <si>
    <t>3-04739</t>
  </si>
  <si>
    <t>Rēķins nr. VLM242832, Barība, EKK 2390, līg.Nr.7.7/525/2021 Rēķ. dat.11.10.2024.</t>
  </si>
  <si>
    <t>3-04749</t>
  </si>
  <si>
    <t>Rēķins nr. F24-033553, Barība, EKK 2390, līg.7.7/458/2023 Rēķ. dat.10.10.2024.</t>
  </si>
  <si>
    <t>3-04750</t>
  </si>
  <si>
    <t>943.49 EUR</t>
  </si>
  <si>
    <t>Rēķins nr. VIS24 16408, Barība, EKK 2390, līg.Nr.7.7/58/2024 Rēķ. dat.14.10.2024</t>
  </si>
  <si>
    <t>3-04753</t>
  </si>
  <si>
    <t>Rēķins nr. F24-034564, Barība, EKK 2390, līg.7.7/458/2023 Rēķ. dat.17.10.2024.</t>
  </si>
  <si>
    <t>3-04771</t>
  </si>
  <si>
    <t>251.68 EUR</t>
  </si>
  <si>
    <t>Rēķins nr. SZV427695, Barība, EKK2390 Rēķ. dat.16.10.2024.</t>
  </si>
  <si>
    <t>3-04776</t>
  </si>
  <si>
    <t>Rēķins nr. 156, Barība, EKK2390, līg.7.7/216/2024  Rēķ. dat.20.10.2024.</t>
  </si>
  <si>
    <t>3-04818</t>
  </si>
  <si>
    <t>Rēķins nr. F24-035469, Barība, EKK 2390, līg.7.7/458/2023 Rēķ. dat.24.10.2024.</t>
  </si>
  <si>
    <t>3-05096</t>
  </si>
  <si>
    <t>104.43 EUR</t>
  </si>
  <si>
    <t>Rēķins nr. LAB 24278, Dārzeņi LDT- burkāni, āboli, līg.7.7/570/2021 Rēķ. dat.28.</t>
  </si>
  <si>
    <t>3-05097</t>
  </si>
  <si>
    <t>Rēķins nr. F24-036328, Barība, EKK 2390, līg.7.7/458/2023 Rēķ. dat.31.10.2024.</t>
  </si>
  <si>
    <t>3-05120</t>
  </si>
  <si>
    <t>Rēķins nr. 157, Barība, EKK2390, līg.7.7/216/2024  Rēķ. dat.03.11.2024.</t>
  </si>
  <si>
    <t>3-05271</t>
  </si>
  <si>
    <t>412.84 EUR</t>
  </si>
  <si>
    <t>Rēķins nr. VIS24 18348, Barība, EKK 2390, līg.Nr.7.7/58/2024 Rēķ. dat.11.11.2024</t>
  </si>
  <si>
    <t>3-05272</t>
  </si>
  <si>
    <t>Rēķins nr. F24-037568, Barība, EKK 2390, līg.7.7/458/2023 Rēķ. dat.07.11.2024.</t>
  </si>
  <si>
    <t>3-05337</t>
  </si>
  <si>
    <t>Rēķins nr. F24-039005, Barība, EKK 2390, līg.7.7/458/2023 Rēķ. dat.14.11.2024.</t>
  </si>
  <si>
    <t>3-05340</t>
  </si>
  <si>
    <t>Rēķins nr. F24-039555, Barība, EKK 2390, līg.7.7/458/2023 Rēķ. dat.21.11.2024.</t>
  </si>
  <si>
    <t>3-05707</t>
  </si>
  <si>
    <t>Rēķins nr. F24-040847, Barība, EKK 2390, līg.7.7/458/2023 Rēķ. dat.28.11.2024.</t>
  </si>
  <si>
    <t>3-05708</t>
  </si>
  <si>
    <t>Rēķins nr. SZV433531, Barība, KK2390 Rēķ. dat.27.11.2024.</t>
  </si>
  <si>
    <t>3-05710</t>
  </si>
  <si>
    <t>Rēķins nr. 160, Barība, EKK2390, līg.7.7/216/2024 Rēķ. dat.24.11.2024.</t>
  </si>
  <si>
    <t>3-05763</t>
  </si>
  <si>
    <t>205.70 EUR</t>
  </si>
  <si>
    <t>Rēķins nr. LAB 24320, Dārzeņi LDT- burkāni, āboli, līg.7.7/570/2021 Rēķ. dat.25.</t>
  </si>
  <si>
    <t>3-05818</t>
  </si>
  <si>
    <t>Rēķins nr. F24-042050, Barība, EKK 2390, līg.7.7/458/2023 Rēķ. dat.05.12.2024.</t>
  </si>
  <si>
    <t>3-05820</t>
  </si>
  <si>
    <t>Rēķins nr. 161, Barība, EKK2390, līg.7.7/216/2024 Rēķ. dat.01.12.2024.</t>
  </si>
  <si>
    <t>3-06020</t>
  </si>
  <si>
    <t>Rēķins nr. F24-043027, Barība, EKK 2390, līg.7.7/458/2023 Rēķ. dat.12.12.2024.</t>
  </si>
  <si>
    <t>3-06022</t>
  </si>
  <si>
    <t>1268.72 EUR</t>
  </si>
  <si>
    <t>Rēķins nr. VIS2420254, Barība, KK2390 Rēķ. dat.09.12.2024.</t>
  </si>
  <si>
    <t>3-06027</t>
  </si>
  <si>
    <t>471.90 EUR</t>
  </si>
  <si>
    <t>Rēķins nr. SZV435561, Barība, EKK2390 Rēķ. dat.11.12.2024.</t>
  </si>
  <si>
    <t>3-06324</t>
  </si>
  <si>
    <t>106.96 EUR</t>
  </si>
  <si>
    <t>Rēķins nr. VIS24 20206, Barība, KK2390 Rēķ. dat.09.12.2024.</t>
  </si>
  <si>
    <t>3-06325</t>
  </si>
  <si>
    <t>244.14 EUR</t>
  </si>
  <si>
    <t>Rēķins nr. VIS24 20224, Barība, KK2390 Rēķ. dat.09.12.2024.</t>
  </si>
  <si>
    <t>3-06058</t>
  </si>
  <si>
    <t>Rēķins nr. 162, Barība, EKK2390, līg.7.7/181/2021  Rēķ. dat.15.12.2024.</t>
  </si>
  <si>
    <t>3-06065</t>
  </si>
  <si>
    <t>Rēķins nr. LATA-1354, Par auzām, KK2390 Rēķ. dat.11.12.2024.</t>
  </si>
  <si>
    <t>3-06343</t>
  </si>
  <si>
    <t>210.92 EUR</t>
  </si>
  <si>
    <t>Rēķins nr. LAB 24373, Dārzeņi LDT- burkāni, āboli, līg.7.7/570/2021 Rēķ. dat.19.</t>
  </si>
  <si>
    <t>3-06344</t>
  </si>
  <si>
    <t>19.72 EUR</t>
  </si>
  <si>
    <t>Rēķins nr. F24-044219, Barība, EKK 2390, līg.7.7/458/2023 Rēķ. dat.19.12.2024.</t>
  </si>
  <si>
    <t>3-00111</t>
  </si>
  <si>
    <t>RIETSAULE, SIA</t>
  </si>
  <si>
    <t>3159.55 EUR</t>
  </si>
  <si>
    <t>Rēķins nr.1/1/24, Par teritorijas ikdienas uzkopšanu Līgatnes dabas takās,2023.g</t>
  </si>
  <si>
    <t>2224</t>
  </si>
  <si>
    <t>3-01008</t>
  </si>
  <si>
    <t>3167.05 EUR</t>
  </si>
  <si>
    <t>Rēķ.nr.1/2/24, Par teritorijas ikdienas uzkopšanu Līgatnes dabas takās, 2024.g.j</t>
  </si>
  <si>
    <t>3-01534</t>
  </si>
  <si>
    <t>2610.80 EUR</t>
  </si>
  <si>
    <t>Rēķ.nr.1/3/24, Par teritorijas ikdienas uzkopšanu LDT, 2024.g.februārī, līg.Nr.7</t>
  </si>
  <si>
    <t>3-02055</t>
  </si>
  <si>
    <t>1986.70 EUR</t>
  </si>
  <si>
    <t>Rēķi.nr. 1/5/24, Par teritorijas ikdienas uzkopšanu LDT, 2024.g.aprīlī, līg.Nr.7</t>
  </si>
  <si>
    <t>3-02071</t>
  </si>
  <si>
    <t>2526.60 EUR</t>
  </si>
  <si>
    <t>Rēķ.nr. 1/4/24, Par teritorijas ikdienas uzkopšanu Līgatnes dabas takās, 2024.g.</t>
  </si>
  <si>
    <t>3-02652</t>
  </si>
  <si>
    <t>1993.10 EUR</t>
  </si>
  <si>
    <t>Rēķins nr. 1/6/24, Par teritorijas ikdienas uzkopšanu LDT, 2024.g.maijā, līg.Nr.</t>
  </si>
  <si>
    <t>3-03383</t>
  </si>
  <si>
    <t>1436.40 EUR</t>
  </si>
  <si>
    <t>Rēķins nr. 1/7/24, Par teritorijas uzkopšanu, 2024.g.jūnijā, līg.Nr.7.7/683/2022</t>
  </si>
  <si>
    <t>3-03993</t>
  </si>
  <si>
    <t>1672.70 EUR</t>
  </si>
  <si>
    <t>Rēķins nr. 1/8/24, Par teritorijas ikdienas uzkopšanu LDT, 2024.g.jūlijā, līg.Nr</t>
  </si>
  <si>
    <t>3-04546</t>
  </si>
  <si>
    <t>1403.90 EUR</t>
  </si>
  <si>
    <t>Rēķ.nr. 1/9/24, Par teritorijas ikdienas uzkopšanu LDT, 2024.g.augustā, līg.Nr.7</t>
  </si>
  <si>
    <t>3-04824</t>
  </si>
  <si>
    <t>1583.10 EUR</t>
  </si>
  <si>
    <t>Rēķins nr. 1/10/24, Par teritorijas ikdienas uzkopšanu LDT, 2024.g.septembrī, lī</t>
  </si>
  <si>
    <t>3-05878</t>
  </si>
  <si>
    <t>2284.00 EUR</t>
  </si>
  <si>
    <t>Rēķ.nr. 2/12/24, Par teritorijas ikdienas uzkopšanu LDT, 2024.g.novembrī, līg.Nr</t>
  </si>
  <si>
    <t>3-05879</t>
  </si>
  <si>
    <t>1720.90 EUR</t>
  </si>
  <si>
    <t>Rēķins nr. 1/12/24, Par teritorijas ikdienas uzkopšanu LDT, 2024.g.oktobrī, līg.</t>
  </si>
  <si>
    <t>2241</t>
  </si>
  <si>
    <t>2244</t>
  </si>
  <si>
    <t>3-00001</t>
  </si>
  <si>
    <t>MUSTANG APSARDZE, SIA</t>
  </si>
  <si>
    <t>89.54 EUR</t>
  </si>
  <si>
    <t>Rēķins nr. G 27470, Apsardzes pakalpojumi, 2023.g.decembris, Objekti Līgantes no</t>
  </si>
  <si>
    <t>3-00757</t>
  </si>
  <si>
    <t>Rēķins nr. G 00610, Apsardzes pakalpojumi, 2024.g.janvāris, Objekti Līgantes nov</t>
  </si>
  <si>
    <t>3-01075</t>
  </si>
  <si>
    <t>Rēķins nr. G 04300, Apsardzes pakalpojumi, 2024.g.februāris, Objekti Līgantes no</t>
  </si>
  <si>
    <t>3-01554</t>
  </si>
  <si>
    <t>Rēķins nr. G 05426, Apsardzes pakalpojumi, 2024.g.marts, Objekti Līgantes novadā</t>
  </si>
  <si>
    <t>3-01989</t>
  </si>
  <si>
    <t>Rēķins nr. G 09115, Apsardzes pakalpojumi, 2024.g.aprīlis, Objekti Līgantes nova</t>
  </si>
  <si>
    <t>3-02436</t>
  </si>
  <si>
    <t>Rēķins nr. G 10277, Apsardzes pakalpojumi, 2024.g.maijs, Objekti Līgantes novadā</t>
  </si>
  <si>
    <t>3-03062</t>
  </si>
  <si>
    <t>Rēķins nr. G 14208, Apsardzes pakalpojumi, 2024.g.jūnjs, Objekti Līgantes novadā</t>
  </si>
  <si>
    <t>3-03415</t>
  </si>
  <si>
    <t>Rēķins nr. G 15396, Apsardzes pakalpojumi, 2024.g.jūljs, Objekti Līgantes novadā</t>
  </si>
  <si>
    <t>3-04547</t>
  </si>
  <si>
    <t>Rēķins nr. 20520, Apsardzes pakalpojumi, 2024.g.septembrī,  Objekti Līgantes nov</t>
  </si>
  <si>
    <t>3-05147</t>
  </si>
  <si>
    <t>Rēķins nr. 24295, Apsardzes pakalpojumi, 2024.g.oktobrī,  Objekti Līgantes novad</t>
  </si>
  <si>
    <t>3-05768</t>
  </si>
  <si>
    <t>Rēķins nr. 25719, Apsardzes pakalpojumi, 2024.g.novembri,  Objekti Līgantes nova</t>
  </si>
  <si>
    <t>3-03114</t>
  </si>
  <si>
    <t>Dina M, SIA</t>
  </si>
  <si>
    <t>571.73 EUR</t>
  </si>
  <si>
    <t>Rēķins nr. 022/2024, Par teritorijas uzkopšanu, 04.06.2024 - 30.06.2024., PN akt</t>
  </si>
  <si>
    <t>3-03414</t>
  </si>
  <si>
    <t>635.25 EUR</t>
  </si>
  <si>
    <t>Rēķins nr. 028/2024, teritor. uzkopš, 01.07.2024 - 31.07.2024., PN akts  Nr.028/</t>
  </si>
  <si>
    <t>3-04153</t>
  </si>
  <si>
    <t>Rēķins nr. 033/2024, Par teritorijas uzkopšanu, 01.08.2024 - 31.08.2024., PN akt</t>
  </si>
  <si>
    <t>3-04716</t>
  </si>
  <si>
    <t>Rēķins nr. 038/2024, Par teritorijas uzkopšanu, 2024.g.septembrī, PN akts  Nr.03</t>
  </si>
  <si>
    <t>3-05159</t>
  </si>
  <si>
    <t>Rēķins nr. 046/2024, Par teritorijas uzkopšanu, 2024.g.oktobrī, PN akts  Nr.046/</t>
  </si>
  <si>
    <t>3-05772</t>
  </si>
  <si>
    <t>Rēķins nr. 054/2024,Par teritorijas uzkopšanu, 2024.g.novembri, PN akts Nr.054/2</t>
  </si>
  <si>
    <t>3-00154</t>
  </si>
  <si>
    <t>Impel Serviks  SIA</t>
  </si>
  <si>
    <t>508.73 EUR</t>
  </si>
  <si>
    <t xml:space="preserve">Rēķins nr. 2312010,  Par uzkopšanas pakalpojumiem 1.12.2023-31.12.2023 </t>
  </si>
  <si>
    <t>3-00712</t>
  </si>
  <si>
    <t>Rēķins nr. 2401010,  Par uzkopšanas pakalpojumiem 1.01.2024-31.01.2024, p/n akts</t>
  </si>
  <si>
    <t>3-01184</t>
  </si>
  <si>
    <t>Rēķins nr. 2402009,  Par uzkopšanas pakalpojumiem 1.02.2024-29.02.2024, p/n akts</t>
  </si>
  <si>
    <t>3-01687</t>
  </si>
  <si>
    <t>Rēķins nr. 2403009,  Par uzkopšanas pakalpojumiem 1.03.2024-31.03.2024, p/n akts</t>
  </si>
  <si>
    <t>3-02109</t>
  </si>
  <si>
    <t>Rēķins nr. 2404010,  Par uzkopšanas pakalpojumiem 1.04.2024-30.04.2024, p/n akts</t>
  </si>
  <si>
    <t>3-00324</t>
  </si>
  <si>
    <t>Arno Klevinskis</t>
  </si>
  <si>
    <t>291.84 EUR</t>
  </si>
  <si>
    <t>Rēķins nr. 472, Par vetārsta sniegtajiem pakalpojumiem</t>
  </si>
  <si>
    <t>2232</t>
  </si>
  <si>
    <t>3-02001</t>
  </si>
  <si>
    <t>378.73 EUR</t>
  </si>
  <si>
    <t xml:space="preserve">Rēķins nr. 489, Par vetārsta sniegtajiem pakalpojumiem </t>
  </si>
  <si>
    <t>3-02002</t>
  </si>
  <si>
    <t>499.73 EUR</t>
  </si>
  <si>
    <t xml:space="preserve">Rēķins nr. 488, Par vetārsta sniegtajiem pakalpojumiem </t>
  </si>
  <si>
    <t>3-02003</t>
  </si>
  <si>
    <t>244.42 EUR</t>
  </si>
  <si>
    <t xml:space="preserve">Rēķins nr. 486, Par vetārsta sniegtajiem pakalpojumiem </t>
  </si>
  <si>
    <t>3-02004</t>
  </si>
  <si>
    <t>208.60 EUR</t>
  </si>
  <si>
    <t xml:space="preserve">Rēķins nr. 485, Par vetārsta sniegtajiem pakalpojumiem </t>
  </si>
  <si>
    <t>3-02005</t>
  </si>
  <si>
    <t>331.54 EUR</t>
  </si>
  <si>
    <t xml:space="preserve">Rēķins nr. 487, Par vetārsta sniegtajiem pakalpojumiem </t>
  </si>
  <si>
    <t>3-03142</t>
  </si>
  <si>
    <t>465.29 EUR</t>
  </si>
  <si>
    <t>Rēķins nr. 494, Par vetārsta sniegtajiem pakalpojumiem Rēķ. dat.22.07.2024.</t>
  </si>
  <si>
    <t>3-03143</t>
  </si>
  <si>
    <t>359.37 EUR</t>
  </si>
  <si>
    <t>Rēķins nr. 495, Par vetārsta sniegtajiem pakalpojumiem Rēķ. dat.22.07.2024.</t>
  </si>
  <si>
    <t>3-03144</t>
  </si>
  <si>
    <t>227.48 EUR</t>
  </si>
  <si>
    <t>Rēķins nr. 496, Par vetārsta sniegtajiem pakalpojumiem Rēķ. dat.22.07.2024.</t>
  </si>
  <si>
    <t>3-03675</t>
  </si>
  <si>
    <t>540.02 EUR</t>
  </si>
  <si>
    <t xml:space="preserve">Rēķins nr. 497, Par vetārsta sniegtajiem pakalpojumiem </t>
  </si>
  <si>
    <t>3-03676</t>
  </si>
  <si>
    <t>302.50 EUR</t>
  </si>
  <si>
    <t xml:space="preserve">Rēķins nr. 498, Par vetārsta sniegtajiem pakalpojumiem </t>
  </si>
  <si>
    <t>3-04188</t>
  </si>
  <si>
    <t>378.55 EUR</t>
  </si>
  <si>
    <t xml:space="preserve">Rēķins nr. 499, Par vetārsta sniegtajiem pakalpojumiem </t>
  </si>
  <si>
    <t>3-04189</t>
  </si>
  <si>
    <t>227.84 EUR</t>
  </si>
  <si>
    <t xml:space="preserve">Rēķins nr. 500, Par vetārsta sniegtajiem pakalpojumiem </t>
  </si>
  <si>
    <t>3-04190</t>
  </si>
  <si>
    <t>454.11 EUR</t>
  </si>
  <si>
    <t xml:space="preserve">Rēķins nr. 501, Par vetārsta sniegtajiem pakalpojumiem </t>
  </si>
  <si>
    <t>3-04191</t>
  </si>
  <si>
    <t>299.75 EUR</t>
  </si>
  <si>
    <t xml:space="preserve">Rēķins nr. 502, Par vetārsta sniegtajiem pakalpojumiem </t>
  </si>
  <si>
    <t>3-04795</t>
  </si>
  <si>
    <t>221.73 EUR</t>
  </si>
  <si>
    <t xml:space="preserve">Rēķins nr. 506, Par vetārsta sniegtajiem pakalpojumiem </t>
  </si>
  <si>
    <t>3-04796</t>
  </si>
  <si>
    <t>383.27 EUR</t>
  </si>
  <si>
    <t xml:space="preserve">Rēķins nr. 505, Par vetārsta sniegtajiem pakalpojumiem </t>
  </si>
  <si>
    <t>3-04797</t>
  </si>
  <si>
    <t>482.43 EUR</t>
  </si>
  <si>
    <t xml:space="preserve">Rēķins nr. 504, Par vetārsta sniegtajiem pakalpojumiem </t>
  </si>
  <si>
    <t>3-04798</t>
  </si>
  <si>
    <t>436.35 EUR</t>
  </si>
  <si>
    <t xml:space="preserve">Rēķins nr. 503, Par vetārsta sniegtajiem pakalpojumiem </t>
  </si>
  <si>
    <t>3-05306</t>
  </si>
  <si>
    <t>708.08 EUR</t>
  </si>
  <si>
    <t xml:space="preserve">Rēķins nr. 510, Par vetārsta sniegtajiem pakalpojumiem </t>
  </si>
  <si>
    <t>3-05307</t>
  </si>
  <si>
    <t>148.83 EUR</t>
  </si>
  <si>
    <t xml:space="preserve">Rēķins nr. 511, Par vetārsta sniegtajiem pakalpojumiem </t>
  </si>
  <si>
    <t>3-05733</t>
  </si>
  <si>
    <t>214.17 EUR</t>
  </si>
  <si>
    <t xml:space="preserve">Rēķins nr. 514, Par vetārsta sniegtajiem pakalpojumiem </t>
  </si>
  <si>
    <t>3-05734</t>
  </si>
  <si>
    <t>459.00 EUR</t>
  </si>
  <si>
    <t xml:space="preserve">Rēķins nr. 513, Par vetārsta sniegtajiem pakalpojumiem </t>
  </si>
  <si>
    <t>3-06351</t>
  </si>
  <si>
    <t>503.03 EUR</t>
  </si>
  <si>
    <t>Rēķins nr. 516, Par vetārsta sniegtajiem pakalpojumiem Rēķ. dat.18.12.2024.</t>
  </si>
  <si>
    <t>3-06353</t>
  </si>
  <si>
    <t>556.37 EUR</t>
  </si>
  <si>
    <t>Rēķins nr. 515, Par vetārsta sniegtajiem pakalpojumiem Rēķ. dat.18.12.2024.</t>
  </si>
  <si>
    <t>3-01074</t>
  </si>
  <si>
    <t>Pārtikas drošības ,dzīvnieku veselības un vides zinātniskais institūts BIOR</t>
  </si>
  <si>
    <t>114.18 EUR</t>
  </si>
  <si>
    <t>Rēķins nr. DZ/4424/2024, Laboratoriskie izmeklējumi , EKK 21490</t>
  </si>
  <si>
    <t>3-01484</t>
  </si>
  <si>
    <t>168.38 EUR</t>
  </si>
  <si>
    <t xml:space="preserve">Rēķins nr. DZ/6361/2024, Laboratoriskie izmeklējumi </t>
  </si>
  <si>
    <t>3-04715</t>
  </si>
  <si>
    <t>178.79 EUR</t>
  </si>
  <si>
    <t xml:space="preserve">Rēķins nr. DZ/23490/2024, Par sniegtajiem pakalp. </t>
  </si>
  <si>
    <t>3-00650</t>
  </si>
  <si>
    <t>Stokker, SIA</t>
  </si>
  <si>
    <t>1309.07 EUR</t>
  </si>
  <si>
    <t xml:space="preserve">Rēķins nr. SII1128821, Par traktora Kubota L2501 apkopi </t>
  </si>
  <si>
    <t>2242</t>
  </si>
  <si>
    <t>3-00729</t>
  </si>
  <si>
    <t>Lauks A.R.  SIA</t>
  </si>
  <si>
    <t>2626.00 EUR</t>
  </si>
  <si>
    <t xml:space="preserve">Rēķins nr. S24-69, Par traktora Valtra A95N  remonta pak., līg.nr.7.7/68/2024_x000D_
 </t>
  </si>
  <si>
    <t>3-03426</t>
  </si>
  <si>
    <t>350.67 EUR</t>
  </si>
  <si>
    <t>Rēķins nr. S24-295, Par traktora Valtra A95N  remonta pak._x000D_
 Rēķ. dat.30.07.2024</t>
  </si>
  <si>
    <t>3-04717</t>
  </si>
  <si>
    <t>548.54 EUR</t>
  </si>
  <si>
    <t>Rēķins nr. S24-401, Par traktora remonta pakalpoj.</t>
  </si>
  <si>
    <t>3-05114</t>
  </si>
  <si>
    <t>158.43 EUR</t>
  </si>
  <si>
    <t>Rēķins nr. S24-476, Par traktora rezerves daļām un remontmateriāliem, EKK2350 Rē</t>
  </si>
  <si>
    <t>2350</t>
  </si>
  <si>
    <t>3-00994</t>
  </si>
  <si>
    <t>REKLĀMAS APGĀDS  SIA</t>
  </si>
  <si>
    <t>1179.02 EUR</t>
  </si>
  <si>
    <t>Rēķins nr.RAP 4904, Par plāksnēm, norādēm, sugu pasēm, shēmu, EKK2350, par stend</t>
  </si>
  <si>
    <t>Siguldas Būvmeistars AS</t>
  </si>
  <si>
    <t>GNK95285</t>
  </si>
  <si>
    <t>19.12.2023.</t>
  </si>
  <si>
    <t>7.7/12/2021</t>
  </si>
  <si>
    <t>GNK95426</t>
  </si>
  <si>
    <t>28.12.2023.</t>
  </si>
  <si>
    <t>GNR29380</t>
  </si>
  <si>
    <t>RABL SIA</t>
  </si>
  <si>
    <t>RBS 4455</t>
  </si>
  <si>
    <t>7.7/285/2023</t>
  </si>
  <si>
    <t>Meža tehnikas rezervesdaļas</t>
  </si>
  <si>
    <t>DEPO DIY SIA</t>
  </si>
  <si>
    <t>VAL406358</t>
  </si>
  <si>
    <t>29.01.2024.</t>
  </si>
  <si>
    <t>Kopā 400,28 EUR</t>
  </si>
  <si>
    <t>7.7/15/2024</t>
  </si>
  <si>
    <t>Cimdi</t>
  </si>
  <si>
    <t>Lauks - A.R. SIA</t>
  </si>
  <si>
    <t>BER595448</t>
  </si>
  <si>
    <t>20.02.2024.</t>
  </si>
  <si>
    <t xml:space="preserve">Pavadzīme </t>
  </si>
  <si>
    <t>Reklāmas apgāds SIA</t>
  </si>
  <si>
    <t>4904 RAP</t>
  </si>
  <si>
    <t>15.02.2024.</t>
  </si>
  <si>
    <t>Kopā 1179,02 EUR</t>
  </si>
  <si>
    <t>7.7/715/2022</t>
  </si>
  <si>
    <t>Materiālu izgatavošana</t>
  </si>
  <si>
    <t>VAL409443</t>
  </si>
  <si>
    <t>11.03.2024.</t>
  </si>
  <si>
    <t>Kopā 314,29 EUR</t>
  </si>
  <si>
    <t>VAL410674</t>
  </si>
  <si>
    <t>25.03.2024.</t>
  </si>
  <si>
    <t>Kopā 534,38 EUR</t>
  </si>
  <si>
    <t>VAL410674R</t>
  </si>
  <si>
    <t>Kopā 40,92 EUR</t>
  </si>
  <si>
    <t>PVN revers saimniecības preces</t>
  </si>
  <si>
    <t>VAL412705</t>
  </si>
  <si>
    <t>Kopā 221,60 EUR</t>
  </si>
  <si>
    <t>VAL412712</t>
  </si>
  <si>
    <t>18.04.2024.</t>
  </si>
  <si>
    <t>VAL415382</t>
  </si>
  <si>
    <t>VAL417015</t>
  </si>
  <si>
    <t>Kopā 288,97 EUR</t>
  </si>
  <si>
    <t>VAL418153</t>
  </si>
  <si>
    <t>100 nami SIA</t>
  </si>
  <si>
    <t>OZ72 2024</t>
  </si>
  <si>
    <t>18.07.2024.</t>
  </si>
  <si>
    <t>Kopā 7151,10</t>
  </si>
  <si>
    <t>7.7/314/2024</t>
  </si>
  <si>
    <t>PVN reverss kokmateriāli</t>
  </si>
  <si>
    <t>VAL422101</t>
  </si>
  <si>
    <t>VAL422099</t>
  </si>
  <si>
    <t>Kopā 154,77 EUR</t>
  </si>
  <si>
    <t>VAL423254</t>
  </si>
  <si>
    <t>HRC Group SIA</t>
  </si>
  <si>
    <t>HRC 044054</t>
  </si>
  <si>
    <t>12.07.2024.</t>
  </si>
  <si>
    <t>EIS DAP/2024/41, VV VRAA 2021/05/AK/CI-120</t>
  </si>
  <si>
    <t>VAL424724</t>
  </si>
  <si>
    <t>Saimniecības preces/cimdi</t>
  </si>
  <si>
    <t>VAL429099R</t>
  </si>
  <si>
    <t>15.10.2024.</t>
  </si>
  <si>
    <t>Kopā 43,43 EUR</t>
  </si>
  <si>
    <t>PVN reverss saimniecības preces</t>
  </si>
  <si>
    <t>VAL429099</t>
  </si>
  <si>
    <t>VAL429853</t>
  </si>
  <si>
    <t>23.10.2024.</t>
  </si>
  <si>
    <t>S24-476</t>
  </si>
  <si>
    <t>7.7/68/2024</t>
  </si>
  <si>
    <t>saimniecības preces</t>
  </si>
  <si>
    <t>VAL431133</t>
  </si>
  <si>
    <t>06.11.2024.</t>
  </si>
  <si>
    <t>VAL432836</t>
  </si>
  <si>
    <t>29.11.2024.</t>
  </si>
  <si>
    <t>VAL432385</t>
  </si>
  <si>
    <t>21.11.2024.</t>
  </si>
  <si>
    <t>- Neierobežots internets+ (FI</t>
  </si>
  <si>
    <t>Sakaru izdevumi mēnesī</t>
  </si>
  <si>
    <t>kopā EKK 2210</t>
  </si>
  <si>
    <t>Ogus SIA</t>
  </si>
  <si>
    <t>OGS108286</t>
  </si>
  <si>
    <t>7.7/161/2021</t>
  </si>
  <si>
    <t>Transportlīdzekļu pakalpojumi KN7989</t>
  </si>
  <si>
    <t>OGS108437</t>
  </si>
  <si>
    <t>7.7/94/2024</t>
  </si>
  <si>
    <t>OGS108875</t>
  </si>
  <si>
    <t>Transportlīdzekļu pakalpojumi  KN7989</t>
  </si>
  <si>
    <t>OGS108343</t>
  </si>
  <si>
    <t>Auto remonts KN2293</t>
  </si>
  <si>
    <t>OGS108438</t>
  </si>
  <si>
    <t>Transportlīdzekļu pakalpojumi KN2293</t>
  </si>
  <si>
    <t>OGS108568</t>
  </si>
  <si>
    <t>OGS108714</t>
  </si>
  <si>
    <t>Transportlīdzekļu pakalpojumi  KN2293</t>
  </si>
  <si>
    <t>OGS108874</t>
  </si>
  <si>
    <t>KN2293</t>
  </si>
  <si>
    <t>Ekspluatācijā</t>
  </si>
  <si>
    <t>7052</t>
  </si>
  <si>
    <t>Radziņš Ilmārs</t>
  </si>
  <si>
    <t>Nav piešķirts Nav piešķirts</t>
  </si>
  <si>
    <t>42620010137</t>
  </si>
  <si>
    <t>Manuāls</t>
  </si>
  <si>
    <t>42620010182003</t>
  </si>
  <si>
    <t>Norādīts Nav</t>
  </si>
  <si>
    <t>42620010182001</t>
  </si>
  <si>
    <t>12918</t>
  </si>
  <si>
    <t>Inženierbūves</t>
  </si>
  <si>
    <t>42620010137/2</t>
  </si>
  <si>
    <t>Lāču voljers (Lāču māja) - Līgatne " Pauguri "</t>
  </si>
  <si>
    <t>120141/1</t>
  </si>
  <si>
    <t>1218</t>
  </si>
  <si>
    <t>42620010137/1</t>
  </si>
  <si>
    <t>Lāču ziemas māja -sprostotava</t>
  </si>
  <si>
    <t>301-1218-228</t>
  </si>
  <si>
    <t>42620010137005</t>
  </si>
  <si>
    <t>Līgatnes pag.</t>
  </si>
  <si>
    <t>302-1218-07</t>
  </si>
  <si>
    <t>Mazo dzīvnieku voljērs Gaujas NP Līgatnes dabas takas</t>
  </si>
  <si>
    <t>nav KIS</t>
  </si>
  <si>
    <t>302-1218-06</t>
  </si>
  <si>
    <t>Pūču voljērs Gaujas NP Līgatnes dabas takas</t>
  </si>
  <si>
    <t>302-1218-05</t>
  </si>
  <si>
    <t>Stirnu voljērs Gaujas NP Līgatnes dabas takas</t>
  </si>
  <si>
    <t>302-1218-04</t>
  </si>
  <si>
    <t>Jenotsuņu voljērs Gaujas NP Līgatnes dabas takas</t>
  </si>
  <si>
    <t>302-1218-03</t>
  </si>
  <si>
    <t>Lapsu voljērs Gaujas NP Līgatnes dabas takas</t>
  </si>
  <si>
    <t>302-1218-02</t>
  </si>
  <si>
    <t>Mežacūku voljērs Gaujas NP Līgatnes dabas takas</t>
  </si>
  <si>
    <t>42620010137008</t>
  </si>
  <si>
    <t>302-1218-01</t>
  </si>
  <si>
    <t>Lūšu voljērs Gaujas NP Līgatnes dabas takas</t>
  </si>
  <si>
    <t>42620010137006</t>
  </si>
  <si>
    <t>Elektronisks no saraksta</t>
  </si>
  <si>
    <t>12939</t>
  </si>
  <si>
    <t>Pārējie iepriekš neklasificētie pamatlīdzekļi</t>
  </si>
  <si>
    <t>1239</t>
  </si>
  <si>
    <t>Brenčs Normunds</t>
  </si>
  <si>
    <t>Elektronisks</t>
  </si>
  <si>
    <t>301-1239-568</t>
  </si>
  <si>
    <t>Informācijas stends A0</t>
  </si>
  <si>
    <t>301-1239-567</t>
  </si>
  <si>
    <t>301-1239-566</t>
  </si>
  <si>
    <t>301-1239-546</t>
  </si>
  <si>
    <t>Interaktīvā izstāde Līgatnes dabas taku centrā "Pauguri"</t>
  </si>
  <si>
    <t>Goldbergs Vilnis</t>
  </si>
  <si>
    <t>12931</t>
  </si>
  <si>
    <t>Transportlīdzekļi</t>
  </si>
  <si>
    <t>301-1231-278</t>
  </si>
  <si>
    <t>Kvadricikls 8DKD CanAm SSV traxter Base HD8 SG 19 TR (BOMBARDIER)</t>
  </si>
  <si>
    <t>1231</t>
  </si>
  <si>
    <t>301-1231-262</t>
  </si>
  <si>
    <t>Automašīna Mitsubishi L200 2.4 DID Invit 1</t>
  </si>
  <si>
    <t>KN7989</t>
  </si>
  <si>
    <t>301-1231-255</t>
  </si>
  <si>
    <t>Automašīna NISSAN NV200 N1</t>
  </si>
  <si>
    <t>301-1218-403</t>
  </si>
  <si>
    <t>Skatu platforma ar nojumi pie lūšu voljera</t>
  </si>
  <si>
    <t>42620010137019</t>
  </si>
  <si>
    <t>301-1218-402</t>
  </si>
  <si>
    <t>Inženierbūve Lāču iela, Līgatnē Cēsu novads</t>
  </si>
  <si>
    <t>42110050916</t>
  </si>
  <si>
    <t>Akts par nekustamā īpašuma Lāču iela pārņemšanu valsts īpašumā</t>
  </si>
  <si>
    <t>301-1218-393</t>
  </si>
  <si>
    <t>Galds ar 2 soliem B tips (LDT)</t>
  </si>
  <si>
    <t>80940010162</t>
  </si>
  <si>
    <t>80940030178</t>
  </si>
  <si>
    <t>301-1218-384</t>
  </si>
  <si>
    <t>Līgatnes dabas takas gaismēkļi, 26 gaismēkļi</t>
  </si>
  <si>
    <t>Saistītā pamatlīdzekļu kartiņa -Inventāra Nr. 120095 E - "Līgatnes dabas takas"</t>
  </si>
  <si>
    <t>301-1218-352</t>
  </si>
  <si>
    <t>Līgatnes lāču taka (minerālmaisījuma taka cilvēkiem ar īpašajām vajadzībām 72m, laipa cilvēkiem ar īpašajām vajadzībām 9</t>
  </si>
  <si>
    <t>42620010137022</t>
  </si>
  <si>
    <t>3DP/3.5.1.3.0/10/IPIA/VIDM/001</t>
  </si>
  <si>
    <t>3DP/3.5.1.3.0/12/IPIA/VARAM/001</t>
  </si>
  <si>
    <t>301-1218-263</t>
  </si>
  <si>
    <t>Skatu platforma Briežu voljērā</t>
  </si>
  <si>
    <t>42620010113002</t>
  </si>
  <si>
    <t>JURZeme</t>
  </si>
  <si>
    <t>301-1218-262</t>
  </si>
  <si>
    <t>Āra klase Briežu voljērā</t>
  </si>
  <si>
    <t>42620010113003</t>
  </si>
  <si>
    <t>301-1218-259</t>
  </si>
  <si>
    <t>LDT_Pastaigu minerālmaisījuma taka 985,16 m; laipas 69,09m; margas 262,61 m; kāpnes 60,68 m</t>
  </si>
  <si>
    <t>301-1218-258</t>
  </si>
  <si>
    <t>LDT_Safari minerālmaisījuma taka briežu aplokā 156,19 m; laipas 29,23m; žogs 32,92m</t>
  </si>
  <si>
    <t>301-1218-227</t>
  </si>
  <si>
    <t>Lāču voljēra žogs Līgatnes DT</t>
  </si>
  <si>
    <t>00505</t>
  </si>
  <si>
    <t>42620010137051</t>
  </si>
  <si>
    <t>Autoruzraudzība-Skrīveru  celtnieks SIABūvuzraudzība- UFB projekts</t>
  </si>
  <si>
    <t>1193</t>
  </si>
  <si>
    <t>Pārējie iepriekš neklasificētie nemateriālie ieguldījumi</t>
  </si>
  <si>
    <t>1139</t>
  </si>
  <si>
    <t>7051</t>
  </si>
  <si>
    <t>1239-86</t>
  </si>
  <si>
    <t>Statīva komplekts Berno</t>
  </si>
  <si>
    <t>1239-85</t>
  </si>
  <si>
    <t>Traktora šķūris Igland RB 2555</t>
  </si>
  <si>
    <t>1239-84</t>
  </si>
  <si>
    <t>Saldētava Everlasting 1502BTV, 1500L</t>
  </si>
  <si>
    <t>1239-79</t>
  </si>
  <si>
    <t>Koksnes šķeldotājs Iron Blatic 14hp</t>
  </si>
  <si>
    <t>1239-62</t>
  </si>
  <si>
    <t>Ģenerators DB7500CLE, 6,5kw</t>
  </si>
  <si>
    <t>00533</t>
  </si>
  <si>
    <t>1239-6</t>
  </si>
  <si>
    <t>Bišu ekspozīcijas skatu laukuma siena</t>
  </si>
  <si>
    <t>0011</t>
  </si>
  <si>
    <t>1239-46</t>
  </si>
  <si>
    <t>Slota Padagas PG-20T, VIN: 7673</t>
  </si>
  <si>
    <t>0102</t>
  </si>
  <si>
    <t>1239-33</t>
  </si>
  <si>
    <t>Bišu mājiņa-bluķa strops ar jumtiņu</t>
  </si>
  <si>
    <t>0073</t>
  </si>
  <si>
    <t>1239-230</t>
  </si>
  <si>
    <t>Etnozooloģijas ekspozīcija "Kas mežā brišķināja"</t>
  </si>
  <si>
    <t>5 gab. iekštelpu ekspozīcija atrodas Līgatnes dabas taku birojā "Pauguri"</t>
  </si>
  <si>
    <t>1239-149</t>
  </si>
  <si>
    <t>Nojume ar montāžas materiāliem</t>
  </si>
  <si>
    <t>1239-148</t>
  </si>
  <si>
    <t>Apsildāma dzirdne ST 150</t>
  </si>
  <si>
    <t>1239-133</t>
  </si>
  <si>
    <t>Saules paneļi (8.gab.)</t>
  </si>
  <si>
    <t>1239-121</t>
  </si>
  <si>
    <t>Ģenerators Scheppach SG5200D</t>
  </si>
  <si>
    <t>1239-120</t>
  </si>
  <si>
    <t>1218-433</t>
  </si>
  <si>
    <t>Sermuļu dzimtas dzīvnieku voljers</t>
  </si>
  <si>
    <t>42620010137025</t>
  </si>
  <si>
    <t>1218-429</t>
  </si>
  <si>
    <t>Apmeklētāju nojume pie Āpšu mājas</t>
  </si>
  <si>
    <t>42620010137024</t>
  </si>
  <si>
    <t>1218-428</t>
  </si>
  <si>
    <t>Āpšu mājas akspozīcija</t>
  </si>
  <si>
    <t>42620010137023</t>
  </si>
  <si>
    <t>1218-404</t>
  </si>
  <si>
    <t>Vāveru ekspozīcija</t>
  </si>
  <si>
    <t>42620010137021</t>
  </si>
  <si>
    <t>120141/2</t>
  </si>
  <si>
    <t>Lāču voljēra žogs -  Līgatne " Pauguri "</t>
  </si>
  <si>
    <t>1139-10</t>
  </si>
  <si>
    <t>Audiogids LDT mobilās lietotnes lejupielādes punkts</t>
  </si>
  <si>
    <t>1139-09</t>
  </si>
  <si>
    <t>Audiogida mobilā lietotne LDT</t>
  </si>
  <si>
    <t>LDT Vadītāja vietnieks</t>
  </si>
  <si>
    <t xml:space="preserve">Tematiskajam pasākumam </t>
  </si>
  <si>
    <t>gada ietvarā papildus izdevumi attiecībā uz pasākuma izstrādāšanu!</t>
  </si>
  <si>
    <t>LDT Vadītājs</t>
  </si>
  <si>
    <t>euro piemaksās 5 pasākumu organizēšanai gada ietvarā bez soc.nod.</t>
  </si>
  <si>
    <t>Piemaksa</t>
  </si>
  <si>
    <t>Gada programmas sagatavošana pasaķumiem. Iepirkumu dokumnetācijas izstrāde/izvērtēšana, līgumu sagatvošana)</t>
  </si>
  <si>
    <t>Papildus izmaksas par 5 noorganizētiem tematiskiem pasākumiem</t>
  </si>
  <si>
    <t>Elektroenerģija patērēta par 24 stundām 48kWh (0.26 eur x 48)</t>
  </si>
  <si>
    <t xml:space="preserve">Stāvlaukumu apsekošana. </t>
  </si>
  <si>
    <t>Izmaksas gadā</t>
  </si>
  <si>
    <t>Darba uzdevumu pasūtīšana uzkopšanai/remontiem (Tāmes saskaņošana; līguma sagatvošana, rēķinu apstrāde)</t>
  </si>
  <si>
    <t>Līguma parakstīšana, rēķinu saskaņošana</t>
  </si>
  <si>
    <t xml:space="preserve">Izmaksu aprēķinsuz LDT stāvlaukumu. </t>
  </si>
  <si>
    <r>
      <t xml:space="preserve">Maksas pakalpojumu gala cena </t>
    </r>
    <r>
      <rPr>
        <i/>
        <sz val="12"/>
        <color theme="1"/>
        <rFont val="Calibri Light"/>
        <family val="2"/>
        <scheme val="major"/>
      </rPr>
      <t>euro (PVN nepiemēro)</t>
    </r>
  </si>
  <si>
    <t>Sanāksmju zāle (54,5 m2)</t>
  </si>
  <si>
    <t>Vecākais referents īpašumu apsaimniekošanas jomā</t>
  </si>
  <si>
    <t>(725 m2)</t>
  </si>
  <si>
    <t>Telpu izmantošana Pārvaldes Rīgas iela 10A, Salacgrīva, Limbažu nov., LV-4033</t>
  </si>
  <si>
    <t>941,10 m2</t>
  </si>
  <si>
    <r>
      <t>Mazā zāle (36,7 m</t>
    </r>
    <r>
      <rPr>
        <vertAlign val="superscript"/>
        <sz val="11"/>
        <color rgb="FF000000"/>
        <rFont val="Calibri"/>
        <family val="2"/>
        <charset val="186"/>
        <scheme val="minor"/>
      </rPr>
      <t>2</t>
    </r>
    <r>
      <rPr>
        <sz val="11"/>
        <color rgb="FF000000"/>
        <rFont val="Calibri"/>
        <family val="2"/>
        <charset val="186"/>
        <scheme val="minor"/>
      </rPr>
      <t>)</t>
    </r>
  </si>
  <si>
    <t>9. Dabas izglītības pakalpojumi</t>
  </si>
  <si>
    <t>9.1. dabas izglītības nodarbība dabas centrā un apkārtnē (grupām ≤ 30 cilv., līdz 2h)</t>
  </si>
  <si>
    <t>9.1. dabas izglītības nodarbība dabas centrā un apkārtnē (grupām ≤ 30 cilv., līdz 2h), izņemot 9.5. punktā minēto pakalpojumu</t>
  </si>
  <si>
    <t xml:space="preserve">9.2. dabas izglītības nodarbība izbraukumā. </t>
  </si>
  <si>
    <t>9.2. dabas izglītības nodarbība izbraukumā</t>
  </si>
  <si>
    <t>9.3. individuāla tēmas izstrāde nodarbībām</t>
  </si>
  <si>
    <t>9.4. fotoattēli no pārvaldes arhīva nekomerciāliem mērķiem</t>
  </si>
  <si>
    <t>10.pārvaldes speciālista/eksperta konsultācija (mutiska, individuāla)</t>
  </si>
  <si>
    <t>11. pārvaldes speciālista/eksperta atzinums (rakstveida)</t>
  </si>
  <si>
    <t>Netiešās .izm.</t>
  </si>
  <si>
    <t xml:space="preserve">Pārvaldes speciālistu /ekspertu vidējā alga 1556 euro. 1 h tiešās izmaksas algas izdevumi + 1 h konsultācijai  vai atzinu rakstīšanai datu ievākšanai/ pakalpojumu apzināšanai. </t>
  </si>
  <si>
    <t xml:space="preserve">12.1. maksa par valsts zemes nomas līguma sagatavošanu </t>
  </si>
  <si>
    <t xml:space="preserve">12.2. maksa par valsts zemes nomas līguma pārjaunošanu </t>
  </si>
  <si>
    <t xml:space="preserve">12.3. maksa par valsts zemes nomas līguma priekšmeta paplašināšanu </t>
  </si>
  <si>
    <t>12.4. maksa par 12.1.-12.3. apakšpunktā minēto valsts zemes nomas līgumu izpildes uzraudzības vizīti</t>
  </si>
  <si>
    <t>12.Pārvaldes pārvaldīšanā esošās valsts zemes nomas līgumu sagatavošana derīgo izrakteņu ieguvei komerciāliem mērķiem un līgumu izpildes uzraudzība</t>
  </si>
  <si>
    <t>14.1.</t>
  </si>
  <si>
    <t>14.2.</t>
  </si>
  <si>
    <t>14.3.</t>
  </si>
  <si>
    <t>14.4.</t>
  </si>
  <si>
    <t>kemepra</t>
  </si>
  <si>
    <t>15. Pasākuma rīkošana brīvā dabā īpaši aizsargājamā dabas teritorijā, ja tiek izmantota valsts zeme, kas atrodas DAP pārvaldīšanā:</t>
  </si>
  <si>
    <t>15.1. 100-200 dalībnieku</t>
  </si>
  <si>
    <t>15.2. 201-500 dalībnieku</t>
  </si>
  <si>
    <t>15.3. 501-1500 dalībnieku</t>
  </si>
  <si>
    <t>15.4. 1501-3000 dalībnieku</t>
  </si>
  <si>
    <t>15.5. 3001 un vairāk dalībnieku</t>
  </si>
  <si>
    <t>1 atļauja</t>
  </si>
  <si>
    <t xml:space="preserve">Pievienotās vērtības nodokli nepiemēro saskaņā ar Pievienotās vērtības nodokļa likuma 3. panta astoto daļu. </t>
  </si>
  <si>
    <t>Depertamenta direktora vietnieks, nodaļas vadītājs</t>
  </si>
  <si>
    <t>Vecākais valsts vides inspektors</t>
  </si>
  <si>
    <t>28.3 III</t>
  </si>
  <si>
    <t>Atļaujas izsniegšanai (iesnieguma izskatīšana, atļaujas sagatavošana), 1 atļaujas izvērtēšana un sagatavošana aizņem vidēji līdz 3 h</t>
  </si>
  <si>
    <t>Direktora vietnieks, daļas vadītājs</t>
  </si>
  <si>
    <t>28.3 VI</t>
  </si>
  <si>
    <t>Datu pārbaude/ Kadastru līdzināšana ar īpašniekiem.</t>
  </si>
  <si>
    <t>Kopēšanas darbi.</t>
  </si>
  <si>
    <t>Atļaujas izsniegšanai (iesnieguma izskatīšana, atļaujas sagatavošana), 1 atļaujas izvērtēšana un sagatavošana aizņem vidēji līdz 8,5 h. Jo informācijas ievāksāna un apzināšana ir daudz ietiplīgāka nekā atļaujas izsniegšanai.</t>
  </si>
  <si>
    <t>20. Zooloģiskā darza izveidošanas un reģistrācijas atļaujas izsniegšana.</t>
  </si>
  <si>
    <t xml:space="preserve">19. Invazīvo sugu turēšanas atļaujas izsniegšana. </t>
  </si>
  <si>
    <t>18. Meža apsaimniekošanas plāna aktārtota izsniegšana</t>
  </si>
  <si>
    <t>20.pakalpojums</t>
  </si>
  <si>
    <t>tigus novērtējums gadā (euro)</t>
  </si>
  <si>
    <t xml:space="preserve">vērtējamā daļa ha </t>
  </si>
  <si>
    <r>
      <t xml:space="preserve">Cena izcenota ņemot vērā </t>
    </r>
    <r>
      <rPr>
        <b/>
        <sz val="11"/>
        <color theme="1"/>
        <rFont val="Calibri"/>
        <family val="2"/>
        <charset val="186"/>
        <scheme val="minor"/>
      </rPr>
      <t>vidējo</t>
    </r>
    <r>
      <rPr>
        <sz val="11"/>
        <color theme="1"/>
        <rFont val="Calibri"/>
        <family val="2"/>
        <charset val="186"/>
        <scheme val="minor"/>
      </rPr>
      <t xml:space="preserve"> neatkarīga vērtētāja noteikto tirgus nomas maksu par 1 ha. </t>
    </r>
  </si>
  <si>
    <t>Teiču dabas rezervāts</t>
  </si>
  <si>
    <t>Gaujas nacionālais parks</t>
  </si>
  <si>
    <t>cena uz 1 ha</t>
  </si>
  <si>
    <t>vidējā tirgus cena uz 1 ha (bez PVN)</t>
  </si>
  <si>
    <t>Maksas izcenojums balstīts uz neatkarīga vērtētāja noteikto tirgus nomas maksu, ņemot vērā iznomājamo zemes gabalu lauksaimniecības kvalitātes novērtējumu ballēs, platību, izvietojumu, apgrūtinājumus un citus faktorus.</t>
  </si>
  <si>
    <t>Par pamatu ņemti 3 Pārvaldes pasūtītie (2025.gada) tirgus nomas maksas vērtējumi.</t>
  </si>
  <si>
    <t>Zooloģiskā dārza izveidošanas atļaujas izsniegšana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</si>
</sst>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-* #,##0.00_-;\-* #,##0.00_-;_-* &quot;-&quot;??_-;_-@_-"/>
    <numFmt numFmtId="164" formatCode="_-* #,##0.00\ _€_-;\-* #,##0.00\ _€_-;_-* &quot;-&quot;??\ _€_-;_-@_-"/>
    <numFmt numFmtId="165" formatCode="_-* #,##0.000\ _€_-;\-* #,##0.000\ _€_-;_-* &quot;-&quot;???\ _€_-;_-@_-"/>
    <numFmt numFmtId="166" formatCode="0.000%"/>
    <numFmt numFmtId="167" formatCode="_-* #,##0\ _€_-;\-* #,##0\ _€_-;_-* &quot;-&quot;\ _€_-;_-@_-"/>
    <numFmt numFmtId="168" formatCode="_-* #,##0.00\ _€_-;\-* #,##0.00\ _€_-;_-* &quot;-&quot;\ _€_-;_-@_-"/>
    <numFmt numFmtId="169" formatCode="_-* #,##0.000\ _€_-;\-* #,##0.000\ _€_-;_-* &quot;-&quot;??\ _€_-;_-@_-"/>
    <numFmt numFmtId="171" formatCode="_-* #,##0.0000\ _€_-;\-* #,##0.0000\ _€_-;_-* &quot;-&quot;??\ _€_-;_-@_-"/>
    <numFmt numFmtId="172" formatCode="_-* #,##0.00\ _€_-;\-* #,##0.00\ _€_-;_-* &quot;-&quot;???\ _€_-;_-@_-"/>
    <numFmt numFmtId="173" formatCode="0.000"/>
    <numFmt numFmtId="174" formatCode="_-* #,##0\ _€_-;\-* #,##0\ _€_-;_-* &quot;-&quot;??\ _€_-;_-@_-"/>
    <numFmt numFmtId="175" formatCode="#,##0.000"/>
    <numFmt numFmtId="176" formatCode="0.0000"/>
    <numFmt numFmtId="177" formatCode="0.0"/>
    <numFmt numFmtId="178" formatCode="[$EUR]\ #,##0.00"/>
    <numFmt numFmtId="179" formatCode="0.00000"/>
    <numFmt numFmtId="180" formatCode="dd\.mm\.yyyy\."/>
    <numFmt numFmtId="181" formatCode="#0.00"/>
    <numFmt numFmtId="182" formatCode="#0.00##"/>
    <numFmt numFmtId="183" formatCode="mm\.yyyy"/>
    <numFmt numFmtId="184" formatCode="_-* #,##0.00000\ _€_-;\-* #,##0.00000\ _€_-;_-* &quot;-&quot;??\ _€_-;_-@_-"/>
  </numFmts>
  <fonts count="5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charset val="186"/>
      <scheme val="maj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Times New Roman"/>
      <family val="2"/>
      <charset val="186"/>
    </font>
    <font>
      <b/>
      <sz val="12"/>
      <color theme="1"/>
      <name val="Calibri Light"/>
      <family val="2"/>
      <scheme val="maj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 Light"/>
      <family val="2"/>
      <charset val="186"/>
      <scheme val="major"/>
    </font>
    <font>
      <b/>
      <sz val="1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vertAlign val="superscript"/>
      <sz val="12"/>
      <color rgb="FF000000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color theme="4"/>
      <name val="Calibri"/>
      <family val="2"/>
      <charset val="186"/>
      <scheme val="minor"/>
    </font>
    <font>
      <sz val="11"/>
      <color theme="4"/>
      <name val="Calibri Light"/>
      <family val="2"/>
      <charset val="186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b/>
      <sz val="12"/>
      <color theme="1"/>
      <name val="Calibri Light"/>
      <family val="2"/>
      <charset val="186"/>
      <scheme val="major"/>
    </font>
    <font>
      <b/>
      <sz val="12"/>
      <color rgb="FFFF0000"/>
      <name val="Calibri Light"/>
      <family val="2"/>
      <charset val="186"/>
      <scheme val="major"/>
    </font>
    <font>
      <sz val="12"/>
      <color rgb="FF00000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theme="1"/>
      <name val="Calibri Light"/>
      <family val="2"/>
      <charset val="186"/>
      <scheme val="major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7"/>
      <name val="Times New Roman"/>
      <family val="1"/>
      <charset val="186"/>
    </font>
    <font>
      <sz val="10"/>
      <color theme="1"/>
      <name val="Calibri Light"/>
      <family val="2"/>
      <charset val="186"/>
      <scheme val="maj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u/>
      <sz val="12"/>
      <color rgb="FF0563C1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sz val="12"/>
      <color rgb="FF242424"/>
      <name val="Calibri"/>
      <family val="2"/>
      <charset val="186"/>
      <scheme val="minor"/>
    </font>
    <font>
      <i/>
      <sz val="12"/>
      <color rgb="FFFF000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0"/>
      <color rgb="FF444444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sz val="10"/>
      <color rgb="FFFF0000"/>
      <name val="Calibri"/>
      <family val="2"/>
      <charset val="186"/>
      <scheme val="minor"/>
    </font>
    <font>
      <vertAlign val="superscript"/>
      <sz val="11"/>
      <color rgb="FF000000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2" fillId="0" borderId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66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3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/>
    <xf numFmtId="164" fontId="11" fillId="0" borderId="1" xfId="3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2" fillId="4" borderId="0" xfId="0" applyFont="1" applyFill="1" applyAlignment="1">
      <alignment wrapText="1"/>
    </xf>
    <xf numFmtId="0" fontId="2" fillId="5" borderId="1" xfId="0" applyFont="1" applyFill="1" applyBorder="1"/>
    <xf numFmtId="164" fontId="3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4" fontId="9" fillId="5" borderId="1" xfId="0" applyNumberFormat="1" applyFont="1" applyFill="1" applyBorder="1"/>
    <xf numFmtId="164" fontId="3" fillId="5" borderId="1" xfId="0" applyNumberFormat="1" applyFont="1" applyFill="1" applyBorder="1"/>
    <xf numFmtId="0" fontId="10" fillId="0" borderId="0" xfId="0" applyFont="1"/>
    <xf numFmtId="2" fontId="0" fillId="0" borderId="0" xfId="0" applyNumberFormat="1"/>
    <xf numFmtId="0" fontId="0" fillId="6" borderId="0" xfId="0" applyFill="1"/>
    <xf numFmtId="2" fontId="10" fillId="0" borderId="0" xfId="0" applyNumberFormat="1" applyFont="1"/>
    <xf numFmtId="0" fontId="14" fillId="0" borderId="1" xfId="0" applyFont="1" applyBorder="1"/>
    <xf numFmtId="0" fontId="11" fillId="0" borderId="1" xfId="0" applyFont="1" applyBorder="1"/>
    <xf numFmtId="164" fontId="11" fillId="0" borderId="1" xfId="0" applyNumberFormat="1" applyFont="1" applyBorder="1" applyAlignment="1">
      <alignment vertical="center" wrapText="1"/>
    </xf>
    <xf numFmtId="164" fontId="7" fillId="0" borderId="2" xfId="0" applyNumberFormat="1" applyFont="1" applyBorder="1"/>
    <xf numFmtId="164" fontId="0" fillId="0" borderId="1" xfId="0" applyNumberFormat="1" applyBorder="1"/>
    <xf numFmtId="0" fontId="2" fillId="11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17" fillId="0" borderId="0" xfId="0" applyFont="1"/>
    <xf numFmtId="0" fontId="2" fillId="5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5" borderId="5" xfId="0" applyFont="1" applyFill="1" applyBorder="1"/>
    <xf numFmtId="0" fontId="2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5" xfId="0" applyBorder="1"/>
    <xf numFmtId="164" fontId="0" fillId="0" borderId="0" xfId="0" applyNumberFormat="1"/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9" fontId="2" fillId="2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vertical="center"/>
    </xf>
    <xf numFmtId="0" fontId="9" fillId="0" borderId="0" xfId="1" applyFont="1"/>
    <xf numFmtId="0" fontId="2" fillId="0" borderId="0" xfId="1" applyFont="1" applyAlignment="1">
      <alignment vertical="center"/>
    </xf>
    <xf numFmtId="0" fontId="9" fillId="0" borderId="0" xfId="0" applyFont="1" applyAlignment="1">
      <alignment horizontal="left"/>
    </xf>
    <xf numFmtId="0" fontId="9" fillId="0" borderId="13" xfId="0" applyFont="1" applyBorder="1" applyAlignment="1">
      <alignment horizontal="left"/>
    </xf>
    <xf numFmtId="164" fontId="9" fillId="0" borderId="0" xfId="0" applyNumberFormat="1" applyFont="1"/>
    <xf numFmtId="2" fontId="0" fillId="0" borderId="1" xfId="0" applyNumberFormat="1" applyBorder="1"/>
    <xf numFmtId="164" fontId="10" fillId="14" borderId="1" xfId="0" applyNumberFormat="1" applyFont="1" applyFill="1" applyBorder="1"/>
    <xf numFmtId="2" fontId="20" fillId="7" borderId="1" xfId="0" applyNumberFormat="1" applyFont="1" applyFill="1" applyBorder="1"/>
    <xf numFmtId="0" fontId="0" fillId="0" borderId="0" xfId="0" applyAlignment="1">
      <alignment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11" fillId="3" borderId="1" xfId="0" applyFont="1" applyFill="1" applyBorder="1"/>
    <xf numFmtId="164" fontId="11" fillId="3" borderId="1" xfId="0" applyNumberFormat="1" applyFont="1" applyFill="1" applyBorder="1" applyAlignment="1">
      <alignment vertical="center" wrapText="1"/>
    </xf>
    <xf numFmtId="164" fontId="0" fillId="3" borderId="0" xfId="0" applyNumberFormat="1" applyFill="1"/>
    <xf numFmtId="0" fontId="0" fillId="3" borderId="0" xfId="0" applyFill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1" fillId="6" borderId="5" xfId="0" applyFont="1" applyFill="1" applyBorder="1" applyAlignment="1">
      <alignment vertical="center"/>
    </xf>
    <xf numFmtId="0" fontId="21" fillId="6" borderId="5" xfId="4" applyFont="1" applyFill="1" applyBorder="1" applyAlignment="1">
      <alignment vertical="center"/>
    </xf>
    <xf numFmtId="0" fontId="0" fillId="0" borderId="15" xfId="0" applyBorder="1"/>
    <xf numFmtId="2" fontId="20" fillId="7" borderId="3" xfId="0" applyNumberFormat="1" applyFont="1" applyFill="1" applyBorder="1"/>
    <xf numFmtId="2" fontId="0" fillId="6" borderId="1" xfId="0" applyNumberFormat="1" applyFill="1" applyBorder="1"/>
    <xf numFmtId="0" fontId="11" fillId="5" borderId="1" xfId="0" applyFont="1" applyFill="1" applyBorder="1"/>
    <xf numFmtId="164" fontId="11" fillId="5" borderId="1" xfId="0" applyNumberFormat="1" applyFont="1" applyFill="1" applyBorder="1" applyAlignment="1">
      <alignment vertical="center" wrapText="1"/>
    </xf>
    <xf numFmtId="164" fontId="0" fillId="5" borderId="0" xfId="0" applyNumberFormat="1" applyFill="1"/>
    <xf numFmtId="171" fontId="0" fillId="0" borderId="0" xfId="0" applyNumberFormat="1"/>
    <xf numFmtId="0" fontId="9" fillId="0" borderId="1" xfId="1" applyFont="1" applyBorder="1"/>
    <xf numFmtId="0" fontId="9" fillId="0" borderId="1" xfId="1" applyFont="1" applyBorder="1" applyAlignment="1">
      <alignment wrapText="1"/>
    </xf>
    <xf numFmtId="9" fontId="2" fillId="0" borderId="1" xfId="5" applyFont="1" applyBorder="1" applyAlignment="1">
      <alignment horizontal="center" vertical="center"/>
    </xf>
    <xf numFmtId="172" fontId="2" fillId="0" borderId="1" xfId="0" applyNumberFormat="1" applyFont="1" applyBorder="1" applyAlignment="1">
      <alignment vertical="center"/>
    </xf>
    <xf numFmtId="9" fontId="3" fillId="0" borderId="0" xfId="0" applyNumberFormat="1" applyFont="1" applyAlignment="1">
      <alignment horizontal="center" vertical="center"/>
    </xf>
    <xf numFmtId="0" fontId="5" fillId="15" borderId="1" xfId="0" applyFont="1" applyFill="1" applyBorder="1" applyAlignment="1">
      <alignment vertical="center"/>
    </xf>
    <xf numFmtId="0" fontId="5" fillId="15" borderId="1" xfId="0" applyFont="1" applyFill="1" applyBorder="1" applyAlignment="1">
      <alignment horizontal="center" vertical="center"/>
    </xf>
    <xf numFmtId="0" fontId="10" fillId="1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left" vertical="center" wrapText="1"/>
    </xf>
    <xf numFmtId="0" fontId="6" fillId="1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 vertical="center" wrapText="1"/>
    </xf>
    <xf numFmtId="0" fontId="12" fillId="0" borderId="0" xfId="0" applyFont="1"/>
    <xf numFmtId="164" fontId="18" fillId="6" borderId="1" xfId="0" applyNumberFormat="1" applyFont="1" applyFill="1" applyBorder="1" applyAlignment="1">
      <alignment horizontal="center" vertical="center"/>
    </xf>
    <xf numFmtId="164" fontId="18" fillId="6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vertical="center" wrapText="1"/>
    </xf>
    <xf numFmtId="0" fontId="5" fillId="6" borderId="1" xfId="0" applyFont="1" applyFill="1" applyBorder="1"/>
    <xf numFmtId="0" fontId="6" fillId="6" borderId="1" xfId="0" applyFont="1" applyFill="1" applyBorder="1" applyAlignment="1">
      <alignment horizontal="center" vertical="center"/>
    </xf>
    <xf numFmtId="0" fontId="6" fillId="16" borderId="1" xfId="0" applyFont="1" applyFill="1" applyBorder="1"/>
    <xf numFmtId="0" fontId="0" fillId="6" borderId="1" xfId="0" applyFill="1" applyBorder="1" applyAlignment="1">
      <alignment horizontal="center" vertical="center"/>
    </xf>
    <xf numFmtId="0" fontId="0" fillId="6" borderId="0" xfId="0" applyFill="1" applyAlignment="1">
      <alignment vertical="center"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4" fontId="18" fillId="14" borderId="3" xfId="0" applyNumberFormat="1" applyFont="1" applyFill="1" applyBorder="1"/>
    <xf numFmtId="164" fontId="0" fillId="6" borderId="1" xfId="0" applyNumberFormat="1" applyFill="1" applyBorder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4" fontId="0" fillId="0" borderId="1" xfId="0" applyNumberFormat="1" applyBorder="1" applyAlignment="1">
      <alignment horizontal="center"/>
    </xf>
    <xf numFmtId="3" fontId="20" fillId="12" borderId="1" xfId="0" applyNumberFormat="1" applyFont="1" applyFill="1" applyBorder="1" applyAlignment="1">
      <alignment horizontal="center" vertical="center"/>
    </xf>
    <xf numFmtId="3" fontId="10" fillId="12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6" borderId="1" xfId="0" applyFont="1" applyFill="1" applyBorder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0" fillId="6" borderId="8" xfId="0" applyFill="1" applyBorder="1" applyAlignment="1">
      <alignment horizontal="left" vertical="top" wrapText="1"/>
    </xf>
    <xf numFmtId="2" fontId="10" fillId="6" borderId="1" xfId="0" applyNumberFormat="1" applyFont="1" applyFill="1" applyBorder="1" applyAlignment="1">
      <alignment horizontal="center"/>
    </xf>
    <xf numFmtId="0" fontId="0" fillId="6" borderId="1" xfId="0" applyFill="1" applyBorder="1" applyAlignment="1">
      <alignment wrapText="1"/>
    </xf>
    <xf numFmtId="2" fontId="10" fillId="11" borderId="1" xfId="0" applyNumberFormat="1" applyFont="1" applyFill="1" applyBorder="1" applyAlignment="1">
      <alignment horizontal="center" vertical="center"/>
    </xf>
    <xf numFmtId="0" fontId="5" fillId="6" borderId="8" xfId="0" applyFont="1" applyFill="1" applyBorder="1" applyAlignment="1">
      <alignment vertical="top" wrapText="1"/>
    </xf>
    <xf numFmtId="2" fontId="10" fillId="6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2" fontId="10" fillId="0" borderId="0" xfId="0" applyNumberFormat="1" applyFont="1" applyAlignment="1">
      <alignment vertical="center"/>
    </xf>
    <xf numFmtId="0" fontId="10" fillId="6" borderId="1" xfId="0" applyFont="1" applyFill="1" applyBorder="1"/>
    <xf numFmtId="0" fontId="23" fillId="0" borderId="0" xfId="0" applyFont="1"/>
    <xf numFmtId="0" fontId="0" fillId="6" borderId="8" xfId="0" applyFill="1" applyBorder="1" applyAlignment="1">
      <alignment vertical="top"/>
    </xf>
    <xf numFmtId="0" fontId="0" fillId="6" borderId="1" xfId="0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0" fillId="6" borderId="8" xfId="0" applyFill="1" applyBorder="1" applyAlignment="1">
      <alignment vertical="center"/>
    </xf>
    <xf numFmtId="0" fontId="18" fillId="11" borderId="8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right"/>
    </xf>
    <xf numFmtId="0" fontId="10" fillId="2" borderId="17" xfId="0" applyFont="1" applyFill="1" applyBorder="1"/>
    <xf numFmtId="0" fontId="5" fillId="0" borderId="0" xfId="0" applyFont="1" applyAlignment="1">
      <alignment horizontal="right" vertical="center"/>
    </xf>
    <xf numFmtId="0" fontId="10" fillId="6" borderId="0" xfId="0" applyFont="1" applyFill="1"/>
    <xf numFmtId="2" fontId="10" fillId="6" borderId="0" xfId="0" applyNumberFormat="1" applyFont="1" applyFill="1" applyAlignment="1">
      <alignment vertical="center"/>
    </xf>
    <xf numFmtId="2" fontId="10" fillId="6" borderId="0" xfId="0" applyNumberFormat="1" applyFont="1" applyFill="1"/>
    <xf numFmtId="0" fontId="10" fillId="11" borderId="0" xfId="0" applyFont="1" applyFill="1" applyAlignment="1">
      <alignment vertical="center"/>
    </xf>
    <xf numFmtId="175" fontId="0" fillId="0" borderId="1" xfId="0" applyNumberFormat="1" applyBorder="1" applyAlignment="1">
      <alignment horizontal="center" vertical="center"/>
    </xf>
    <xf numFmtId="175" fontId="0" fillId="0" borderId="1" xfId="0" applyNumberFormat="1" applyBorder="1" applyAlignment="1">
      <alignment horizontal="center"/>
    </xf>
    <xf numFmtId="0" fontId="0" fillId="13" borderId="8" xfId="0" applyFill="1" applyBorder="1" applyAlignment="1">
      <alignment vertical="top"/>
    </xf>
    <xf numFmtId="0" fontId="0" fillId="13" borderId="1" xfId="0" applyFill="1" applyBorder="1" applyAlignment="1">
      <alignment horizontal="center"/>
    </xf>
    <xf numFmtId="0" fontId="10" fillId="13" borderId="0" xfId="0" applyFont="1" applyFill="1"/>
    <xf numFmtId="0" fontId="0" fillId="13" borderId="0" xfId="0" applyFill="1"/>
    <xf numFmtId="4" fontId="0" fillId="13" borderId="0" xfId="0" applyNumberFormat="1" applyFill="1"/>
    <xf numFmtId="3" fontId="0" fillId="0" borderId="0" xfId="0" applyNumberFormat="1"/>
    <xf numFmtId="0" fontId="25" fillId="0" borderId="0" xfId="1" applyFont="1"/>
    <xf numFmtId="0" fontId="9" fillId="0" borderId="0" xfId="1" applyFont="1" applyAlignment="1">
      <alignment vertical="center"/>
    </xf>
    <xf numFmtId="164" fontId="25" fillId="0" borderId="0" xfId="1" applyNumberFormat="1" applyFont="1"/>
    <xf numFmtId="2" fontId="25" fillId="0" borderId="0" xfId="1" applyNumberFormat="1" applyFont="1"/>
    <xf numFmtId="10" fontId="25" fillId="0" borderId="0" xfId="1" applyNumberFormat="1" applyFont="1"/>
    <xf numFmtId="0" fontId="9" fillId="0" borderId="1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/>
    </xf>
    <xf numFmtId="0" fontId="25" fillId="0" borderId="1" xfId="1" applyFont="1" applyBorder="1"/>
    <xf numFmtId="0" fontId="25" fillId="0" borderId="1" xfId="1" applyFont="1" applyBorder="1" applyAlignment="1">
      <alignment horizontal="center" vertical="center"/>
    </xf>
    <xf numFmtId="0" fontId="25" fillId="0" borderId="1" xfId="1" applyFont="1" applyBorder="1" applyAlignment="1">
      <alignment vertical="center"/>
    </xf>
    <xf numFmtId="0" fontId="25" fillId="0" borderId="1" xfId="1" applyFont="1" applyBorder="1" applyAlignment="1">
      <alignment vertical="center" wrapText="1"/>
    </xf>
    <xf numFmtId="164" fontId="25" fillId="0" borderId="1" xfId="3" applyFont="1" applyBorder="1" applyAlignment="1"/>
    <xf numFmtId="168" fontId="25" fillId="0" borderId="1" xfId="1" applyNumberFormat="1" applyFont="1" applyBorder="1" applyAlignment="1">
      <alignment horizontal="center" vertical="center"/>
    </xf>
    <xf numFmtId="168" fontId="9" fillId="0" borderId="1" xfId="1" applyNumberFormat="1" applyFont="1" applyBorder="1"/>
    <xf numFmtId="168" fontId="9" fillId="0" borderId="1" xfId="1" applyNumberFormat="1" applyFont="1" applyBorder="1" applyAlignment="1">
      <alignment horizontal="center"/>
    </xf>
    <xf numFmtId="167" fontId="25" fillId="0" borderId="1" xfId="1" applyNumberFormat="1" applyFont="1" applyBorder="1"/>
    <xf numFmtId="172" fontId="25" fillId="0" borderId="1" xfId="1" applyNumberFormat="1" applyFont="1" applyBorder="1"/>
    <xf numFmtId="172" fontId="9" fillId="9" borderId="1" xfId="1" applyNumberFormat="1" applyFont="1" applyFill="1" applyBorder="1"/>
    <xf numFmtId="0" fontId="25" fillId="6" borderId="1" xfId="1" applyFont="1" applyFill="1" applyBorder="1"/>
    <xf numFmtId="167" fontId="25" fillId="0" borderId="1" xfId="1" applyNumberFormat="1" applyFont="1" applyBorder="1" applyAlignment="1">
      <alignment horizontal="center"/>
    </xf>
    <xf numFmtId="0" fontId="26" fillId="0" borderId="0" xfId="1" applyFont="1" applyAlignment="1">
      <alignment vertical="center"/>
    </xf>
    <xf numFmtId="0" fontId="28" fillId="0" borderId="0" xfId="1" applyFont="1"/>
    <xf numFmtId="0" fontId="29" fillId="0" borderId="0" xfId="1" applyFont="1"/>
    <xf numFmtId="0" fontId="30" fillId="0" borderId="0" xfId="0" applyFont="1"/>
    <xf numFmtId="0" fontId="31" fillId="0" borderId="0" xfId="0" applyFont="1"/>
    <xf numFmtId="174" fontId="0" fillId="0" borderId="0" xfId="0" applyNumberFormat="1"/>
    <xf numFmtId="0" fontId="32" fillId="0" borderId="0" xfId="0" applyFont="1"/>
    <xf numFmtId="0" fontId="0" fillId="0" borderId="1" xfId="0" applyBorder="1" applyAlignment="1">
      <alignment horizontal="center"/>
    </xf>
    <xf numFmtId="176" fontId="0" fillId="0" borderId="1" xfId="0" applyNumberFormat="1" applyBorder="1"/>
    <xf numFmtId="164" fontId="0" fillId="6" borderId="1" xfId="0" applyNumberFormat="1" applyFill="1" applyBorder="1" applyAlignment="1">
      <alignment horizontal="left"/>
    </xf>
    <xf numFmtId="0" fontId="39" fillId="2" borderId="1" xfId="0" applyFont="1" applyFill="1" applyBorder="1" applyAlignment="1">
      <alignment horizontal="right" vertical="center"/>
    </xf>
    <xf numFmtId="0" fontId="39" fillId="2" borderId="1" xfId="0" applyFont="1" applyFill="1" applyBorder="1" applyAlignment="1">
      <alignment horizontal="right"/>
    </xf>
    <xf numFmtId="0" fontId="40" fillId="2" borderId="0" xfId="0" applyFont="1" applyFill="1" applyAlignment="1">
      <alignment horizontal="right"/>
    </xf>
    <xf numFmtId="4" fontId="41" fillId="2" borderId="1" xfId="0" applyNumberFormat="1" applyFont="1" applyFill="1" applyBorder="1" applyAlignment="1">
      <alignment vertical="center"/>
    </xf>
    <xf numFmtId="164" fontId="38" fillId="2" borderId="1" xfId="0" applyNumberFormat="1" applyFont="1" applyFill="1" applyBorder="1" applyAlignment="1">
      <alignment horizontal="right" vertical="center" wrapText="1"/>
    </xf>
    <xf numFmtId="0" fontId="41" fillId="2" borderId="0" xfId="0" applyFont="1" applyFill="1"/>
    <xf numFmtId="0" fontId="34" fillId="0" borderId="1" xfId="0" applyFont="1" applyBorder="1" applyAlignment="1">
      <alignment horizontal="left" vertical="center" wrapText="1"/>
    </xf>
    <xf numFmtId="1" fontId="34" fillId="0" borderId="1" xfId="0" applyNumberFormat="1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 wrapText="1"/>
    </xf>
    <xf numFmtId="1" fontId="35" fillId="6" borderId="1" xfId="0" applyNumberFormat="1" applyFont="1" applyFill="1" applyBorder="1" applyAlignment="1">
      <alignment horizontal="center" vertical="center" wrapText="1"/>
    </xf>
    <xf numFmtId="3" fontId="36" fillId="19" borderId="1" xfId="0" applyNumberFormat="1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42" fillId="14" borderId="10" xfId="0" applyFont="1" applyFill="1" applyBorder="1" applyAlignment="1">
      <alignment vertical="center"/>
    </xf>
    <xf numFmtId="2" fontId="17" fillId="0" borderId="2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31" fillId="6" borderId="1" xfId="0" applyFont="1" applyFill="1" applyBorder="1"/>
    <xf numFmtId="164" fontId="31" fillId="6" borderId="1" xfId="0" applyNumberFormat="1" applyFont="1" applyFill="1" applyBorder="1"/>
    <xf numFmtId="0" fontId="42" fillId="0" borderId="0" xfId="0" applyFont="1"/>
    <xf numFmtId="0" fontId="31" fillId="6" borderId="1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vertical="center" wrapText="1"/>
    </xf>
    <xf numFmtId="0" fontId="31" fillId="6" borderId="1" xfId="0" applyFont="1" applyFill="1" applyBorder="1" applyAlignment="1">
      <alignment vertical="center"/>
    </xf>
    <xf numFmtId="2" fontId="31" fillId="0" borderId="0" xfId="0" applyNumberFormat="1" applyFont="1"/>
    <xf numFmtId="164" fontId="31" fillId="6" borderId="1" xfId="0" applyNumberFormat="1" applyFont="1" applyFill="1" applyBorder="1" applyAlignment="1">
      <alignment horizontal="left" vertical="center"/>
    </xf>
    <xf numFmtId="2" fontId="17" fillId="6" borderId="0" xfId="0" applyNumberFormat="1" applyFont="1" applyFill="1" applyAlignment="1">
      <alignment vertical="center"/>
    </xf>
    <xf numFmtId="0" fontId="30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30" fillId="0" borderId="0" xfId="0" applyFont="1" applyAlignment="1">
      <alignment horizontal="left" vertical="top"/>
    </xf>
    <xf numFmtId="0" fontId="17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45" fillId="0" borderId="0" xfId="0" applyFont="1"/>
    <xf numFmtId="0" fontId="46" fillId="0" borderId="0" xfId="0" applyFont="1"/>
    <xf numFmtId="0" fontId="46" fillId="0" borderId="0" xfId="0" applyFont="1" applyAlignment="1">
      <alignment horizontal="center"/>
    </xf>
    <xf numFmtId="0" fontId="30" fillId="16" borderId="0" xfId="0" applyFont="1" applyFill="1"/>
    <xf numFmtId="0" fontId="46" fillId="16" borderId="0" xfId="0" applyFont="1" applyFill="1" applyAlignment="1">
      <alignment horizontal="center"/>
    </xf>
    <xf numFmtId="0" fontId="42" fillId="16" borderId="0" xfId="0" applyFont="1" applyFill="1" applyAlignment="1">
      <alignment horizontal="center"/>
    </xf>
    <xf numFmtId="0" fontId="47" fillId="16" borderId="0" xfId="0" applyFont="1" applyFill="1"/>
    <xf numFmtId="164" fontId="31" fillId="6" borderId="1" xfId="0" applyNumberFormat="1" applyFont="1" applyFill="1" applyBorder="1" applyAlignment="1">
      <alignment vertical="center" wrapText="1"/>
    </xf>
    <xf numFmtId="164" fontId="31" fillId="6" borderId="1" xfId="0" applyNumberFormat="1" applyFont="1" applyFill="1" applyBorder="1" applyAlignment="1">
      <alignment horizontal="center" vertical="center"/>
    </xf>
    <xf numFmtId="164" fontId="17" fillId="6" borderId="1" xfId="0" applyNumberFormat="1" applyFont="1" applyFill="1" applyBorder="1" applyAlignment="1">
      <alignment vertical="center"/>
    </xf>
    <xf numFmtId="0" fontId="31" fillId="6" borderId="1" xfId="0" applyFont="1" applyFill="1" applyBorder="1" applyAlignment="1">
      <alignment horizontal="center" vertical="center" wrapText="1"/>
    </xf>
    <xf numFmtId="164" fontId="31" fillId="6" borderId="0" xfId="0" applyNumberFormat="1" applyFont="1" applyFill="1"/>
    <xf numFmtId="0" fontId="42" fillId="12" borderId="1" xfId="0" applyFont="1" applyFill="1" applyBorder="1" applyAlignment="1">
      <alignment horizontal="center" vertical="center" wrapText="1"/>
    </xf>
    <xf numFmtId="0" fontId="31" fillId="20" borderId="1" xfId="0" applyFont="1" applyFill="1" applyBorder="1" applyAlignment="1">
      <alignment horizontal="center" vertical="center" wrapText="1"/>
    </xf>
    <xf numFmtId="164" fontId="31" fillId="20" borderId="1" xfId="0" applyNumberFormat="1" applyFont="1" applyFill="1" applyBorder="1"/>
    <xf numFmtId="0" fontId="31" fillId="6" borderId="5" xfId="0" applyFont="1" applyFill="1" applyBorder="1" applyAlignment="1">
      <alignment horizontal="left" vertical="center" wrapText="1"/>
    </xf>
    <xf numFmtId="4" fontId="31" fillId="6" borderId="1" xfId="0" applyNumberFormat="1" applyFont="1" applyFill="1" applyBorder="1" applyAlignment="1">
      <alignment horizontal="center" vertical="center"/>
    </xf>
    <xf numFmtId="0" fontId="31" fillId="17" borderId="1" xfId="0" applyFont="1" applyFill="1" applyBorder="1" applyAlignment="1">
      <alignment vertical="center"/>
    </xf>
    <xf numFmtId="164" fontId="31" fillId="8" borderId="1" xfId="0" applyNumberFormat="1" applyFont="1" applyFill="1" applyBorder="1" applyAlignment="1">
      <alignment vertical="center"/>
    </xf>
    <xf numFmtId="164" fontId="17" fillId="6" borderId="1" xfId="0" applyNumberFormat="1" applyFont="1" applyFill="1" applyBorder="1" applyAlignment="1">
      <alignment horizontal="center" vertical="center"/>
    </xf>
    <xf numFmtId="2" fontId="17" fillId="0" borderId="0" xfId="0" applyNumberFormat="1" applyFont="1" applyAlignment="1">
      <alignment vertical="center"/>
    </xf>
    <xf numFmtId="0" fontId="30" fillId="0" borderId="11" xfId="0" applyFont="1" applyBorder="1" applyAlignment="1">
      <alignment horizontal="left" vertical="center" wrapText="1"/>
    </xf>
    <xf numFmtId="0" fontId="17" fillId="6" borderId="1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5" fillId="0" borderId="1" xfId="0" applyFont="1" applyBorder="1" applyAlignment="1">
      <alignment horizontal="center" vertical="center" wrapText="1"/>
    </xf>
    <xf numFmtId="178" fontId="36" fillId="0" borderId="1" xfId="0" applyNumberFormat="1" applyFont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2" fontId="31" fillId="0" borderId="0" xfId="0" applyNumberFormat="1" applyFont="1" applyAlignment="1">
      <alignment vertical="center"/>
    </xf>
    <xf numFmtId="2" fontId="17" fillId="0" borderId="1" xfId="0" applyNumberFormat="1" applyFont="1" applyBorder="1" applyAlignment="1">
      <alignment horizontal="center" vertical="center"/>
    </xf>
    <xf numFmtId="164" fontId="43" fillId="8" borderId="1" xfId="0" applyNumberFormat="1" applyFont="1" applyFill="1" applyBorder="1" applyAlignment="1">
      <alignment horizontal="center" vertical="center"/>
    </xf>
    <xf numFmtId="164" fontId="17" fillId="17" borderId="1" xfId="0" applyNumberFormat="1" applyFont="1" applyFill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5" fillId="0" borderId="0" xfId="1" applyFont="1" applyAlignment="1">
      <alignment vertical="center"/>
    </xf>
    <xf numFmtId="0" fontId="21" fillId="6" borderId="0" xfId="0" applyFont="1" applyFill="1" applyAlignment="1">
      <alignment horizontal="center" vertical="center" wrapText="1"/>
    </xf>
    <xf numFmtId="0" fontId="21" fillId="6" borderId="0" xfId="0" applyFont="1" applyFill="1" applyAlignment="1">
      <alignment horizontal="center" vertical="center"/>
    </xf>
    <xf numFmtId="1" fontId="21" fillId="6" borderId="0" xfId="0" applyNumberFormat="1" applyFont="1" applyFill="1" applyAlignment="1">
      <alignment horizontal="center" vertical="center"/>
    </xf>
    <xf numFmtId="2" fontId="21" fillId="6" borderId="0" xfId="0" applyNumberFormat="1" applyFont="1" applyFill="1" applyAlignment="1">
      <alignment horizontal="center" vertical="center"/>
    </xf>
    <xf numFmtId="2" fontId="31" fillId="0" borderId="0" xfId="0" applyNumberFormat="1" applyFont="1" applyAlignment="1">
      <alignment horizontal="center" vertical="center"/>
    </xf>
    <xf numFmtId="1" fontId="31" fillId="0" borderId="0" xfId="0" applyNumberFormat="1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31" fillId="6" borderId="0" xfId="0" applyFont="1" applyFill="1" applyAlignment="1">
      <alignment vertical="center"/>
    </xf>
    <xf numFmtId="1" fontId="1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31" fillId="8" borderId="1" xfId="0" applyFont="1" applyFill="1" applyBorder="1" applyAlignment="1">
      <alignment vertical="center"/>
    </xf>
    <xf numFmtId="0" fontId="25" fillId="6" borderId="1" xfId="1" applyFont="1" applyFill="1" applyBorder="1" applyAlignment="1">
      <alignment horizontal="left" vertical="center"/>
    </xf>
    <xf numFmtId="0" fontId="21" fillId="6" borderId="1" xfId="0" applyFont="1" applyFill="1" applyBorder="1" applyAlignment="1">
      <alignment horizontal="left" vertical="center"/>
    </xf>
    <xf numFmtId="1" fontId="21" fillId="6" borderId="1" xfId="0" applyNumberFormat="1" applyFont="1" applyFill="1" applyBorder="1" applyAlignment="1">
      <alignment horizontal="left" vertical="center"/>
    </xf>
    <xf numFmtId="2" fontId="21" fillId="6" borderId="1" xfId="0" applyNumberFormat="1" applyFont="1" applyFill="1" applyBorder="1" applyAlignment="1">
      <alignment horizontal="left" vertical="center"/>
    </xf>
    <xf numFmtId="2" fontId="31" fillId="6" borderId="1" xfId="0" applyNumberFormat="1" applyFont="1" applyFill="1" applyBorder="1" applyAlignment="1">
      <alignment horizontal="left" vertical="center"/>
    </xf>
    <xf numFmtId="0" fontId="42" fillId="12" borderId="1" xfId="0" applyFont="1" applyFill="1" applyBorder="1" applyAlignment="1">
      <alignment horizontal="center" vertical="center"/>
    </xf>
    <xf numFmtId="0" fontId="42" fillId="12" borderId="1" xfId="0" applyFont="1" applyFill="1" applyBorder="1" applyAlignment="1">
      <alignment horizontal="left" vertical="center"/>
    </xf>
    <xf numFmtId="2" fontId="17" fillId="0" borderId="0" xfId="0" applyNumberFormat="1" applyFont="1"/>
    <xf numFmtId="0" fontId="31" fillId="20" borderId="0" xfId="0" applyFont="1" applyFill="1"/>
    <xf numFmtId="2" fontId="17" fillId="20" borderId="0" xfId="0" applyNumberFormat="1" applyFont="1" applyFill="1"/>
    <xf numFmtId="0" fontId="17" fillId="6" borderId="0" xfId="0" applyFont="1" applyFill="1" applyAlignment="1">
      <alignment vertical="center"/>
    </xf>
    <xf numFmtId="0" fontId="31" fillId="6" borderId="0" xfId="0" applyFont="1" applyFill="1"/>
    <xf numFmtId="0" fontId="44" fillId="6" borderId="0" xfId="0" applyFont="1" applyFill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wrapText="1"/>
    </xf>
    <xf numFmtId="1" fontId="21" fillId="18" borderId="1" xfId="0" applyNumberFormat="1" applyFont="1" applyFill="1" applyBorder="1" applyAlignment="1">
      <alignment horizontal="right" vertical="center"/>
    </xf>
    <xf numFmtId="1" fontId="21" fillId="6" borderId="1" xfId="0" applyNumberFormat="1" applyFont="1" applyFill="1" applyBorder="1" applyAlignment="1">
      <alignment horizontal="right" vertical="center"/>
    </xf>
    <xf numFmtId="2" fontId="31" fillId="6" borderId="1" xfId="0" applyNumberFormat="1" applyFont="1" applyFill="1" applyBorder="1" applyAlignment="1">
      <alignment horizontal="right" vertical="center"/>
    </xf>
    <xf numFmtId="1" fontId="17" fillId="0" borderId="0" xfId="0" applyNumberFormat="1" applyFont="1" applyAlignment="1">
      <alignment horizontal="center" vertical="center"/>
    </xf>
    <xf numFmtId="173" fontId="17" fillId="0" borderId="0" xfId="0" applyNumberFormat="1" applyFont="1" applyAlignment="1">
      <alignment horizontal="center" vertical="center"/>
    </xf>
    <xf numFmtId="169" fontId="25" fillId="0" borderId="0" xfId="1" applyNumberFormat="1" applyFont="1"/>
    <xf numFmtId="164" fontId="29" fillId="0" borderId="0" xfId="1" applyNumberFormat="1" applyFont="1"/>
    <xf numFmtId="2" fontId="31" fillId="6" borderId="0" xfId="0" applyNumberFormat="1" applyFont="1" applyFill="1" applyAlignment="1">
      <alignment horizontal="left" vertical="center"/>
    </xf>
    <xf numFmtId="0" fontId="46" fillId="6" borderId="0" xfId="0" applyFont="1" applyFill="1" applyAlignment="1">
      <alignment vertical="center"/>
    </xf>
    <xf numFmtId="2" fontId="17" fillId="2" borderId="0" xfId="0" applyNumberFormat="1" applyFont="1" applyFill="1" applyAlignment="1">
      <alignment vertical="center"/>
    </xf>
    <xf numFmtId="0" fontId="31" fillId="6" borderId="1" xfId="1" applyFont="1" applyFill="1" applyBorder="1" applyAlignment="1">
      <alignment horizontal="left" vertical="center"/>
    </xf>
    <xf numFmtId="0" fontId="32" fillId="0" borderId="1" xfId="0" applyFont="1" applyBorder="1" applyAlignment="1">
      <alignment horizontal="left" vertical="center" wrapText="1"/>
    </xf>
    <xf numFmtId="0" fontId="31" fillId="6" borderId="0" xfId="1" applyFont="1" applyFill="1" applyAlignment="1">
      <alignment horizontal="left" vertical="center"/>
    </xf>
    <xf numFmtId="0" fontId="32" fillId="6" borderId="1" xfId="0" applyFont="1" applyFill="1" applyBorder="1" applyAlignment="1">
      <alignment horizontal="right" vertical="center"/>
    </xf>
    <xf numFmtId="1" fontId="32" fillId="18" borderId="1" xfId="0" applyNumberFormat="1" applyFont="1" applyFill="1" applyBorder="1" applyAlignment="1">
      <alignment horizontal="right" vertical="center"/>
    </xf>
    <xf numFmtId="2" fontId="32" fillId="6" borderId="1" xfId="0" applyNumberFormat="1" applyFont="1" applyFill="1" applyBorder="1" applyAlignment="1">
      <alignment horizontal="right" vertical="center"/>
    </xf>
    <xf numFmtId="0" fontId="32" fillId="6" borderId="1" xfId="0" applyFont="1" applyFill="1" applyBorder="1" applyAlignment="1">
      <alignment horizontal="center" vertical="center"/>
    </xf>
    <xf numFmtId="1" fontId="32" fillId="18" borderId="1" xfId="0" applyNumberFormat="1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left" vertical="center"/>
    </xf>
    <xf numFmtId="0" fontId="43" fillId="6" borderId="1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vertical="center" wrapText="1"/>
    </xf>
    <xf numFmtId="0" fontId="32" fillId="6" borderId="0" xfId="0" applyFont="1" applyFill="1" applyAlignment="1">
      <alignment horizontal="left" vertical="center" wrapText="1"/>
    </xf>
    <xf numFmtId="0" fontId="32" fillId="6" borderId="0" xfId="0" applyFont="1" applyFill="1" applyAlignment="1">
      <alignment horizontal="left" vertical="center"/>
    </xf>
    <xf numFmtId="1" fontId="32" fillId="6" borderId="0" xfId="0" applyNumberFormat="1" applyFont="1" applyFill="1" applyAlignment="1">
      <alignment horizontal="left" vertical="center"/>
    </xf>
    <xf numFmtId="2" fontId="32" fillId="6" borderId="0" xfId="0" applyNumberFormat="1" applyFont="1" applyFill="1" applyAlignment="1">
      <alignment horizontal="left" vertical="center"/>
    </xf>
    <xf numFmtId="0" fontId="44" fillId="6" borderId="0" xfId="0" applyFont="1" applyFill="1" applyAlignment="1">
      <alignment horizontal="left" vertical="center"/>
    </xf>
    <xf numFmtId="0" fontId="31" fillId="0" borderId="0" xfId="1" applyFont="1"/>
    <xf numFmtId="0" fontId="17" fillId="0" borderId="0" xfId="1" applyFont="1"/>
    <xf numFmtId="0" fontId="17" fillId="0" borderId="0" xfId="1" applyFont="1" applyAlignment="1">
      <alignment vertical="center"/>
    </xf>
    <xf numFmtId="1" fontId="32" fillId="6" borderId="1" xfId="0" applyNumberFormat="1" applyFont="1" applyFill="1" applyBorder="1" applyAlignment="1">
      <alignment horizontal="right" vertical="center"/>
    </xf>
    <xf numFmtId="169" fontId="31" fillId="6" borderId="0" xfId="0" applyNumberFormat="1" applyFont="1" applyFill="1"/>
    <xf numFmtId="172" fontId="31" fillId="6" borderId="0" xfId="0" applyNumberFormat="1" applyFont="1" applyFill="1"/>
    <xf numFmtId="0" fontId="31" fillId="0" borderId="1" xfId="0" applyFont="1" applyBorder="1" applyAlignment="1">
      <alignment vertical="center" wrapText="1"/>
    </xf>
    <xf numFmtId="1" fontId="31" fillId="18" borderId="1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48" fillId="0" borderId="0" xfId="1" applyFont="1"/>
    <xf numFmtId="1" fontId="31" fillId="0" borderId="0" xfId="0" applyNumberFormat="1" applyFont="1"/>
    <xf numFmtId="177" fontId="31" fillId="0" borderId="0" xfId="0" applyNumberFormat="1" applyFont="1"/>
    <xf numFmtId="0" fontId="48" fillId="0" borderId="0" xfId="1" applyFont="1" applyAlignment="1">
      <alignment vertical="center"/>
    </xf>
    <xf numFmtId="1" fontId="17" fillId="6" borderId="1" xfId="0" applyNumberFormat="1" applyFont="1" applyFill="1" applyBorder="1" applyAlignment="1">
      <alignment horizontal="center" vertical="center"/>
    </xf>
    <xf numFmtId="2" fontId="17" fillId="6" borderId="1" xfId="0" applyNumberFormat="1" applyFont="1" applyFill="1" applyBorder="1" applyAlignment="1">
      <alignment horizontal="center" vertical="center"/>
    </xf>
    <xf numFmtId="0" fontId="0" fillId="18" borderId="1" xfId="0" applyFill="1" applyBorder="1"/>
    <xf numFmtId="0" fontId="46" fillId="6" borderId="0" xfId="0" applyFont="1" applyFill="1" applyAlignment="1">
      <alignment horizontal="left" vertical="center"/>
    </xf>
    <xf numFmtId="0" fontId="32" fillId="6" borderId="1" xfId="0" applyFont="1" applyFill="1" applyBorder="1" applyAlignment="1">
      <alignment horizontal="left" vertical="center"/>
    </xf>
    <xf numFmtId="1" fontId="32" fillId="6" borderId="1" xfId="0" applyNumberFormat="1" applyFont="1" applyFill="1" applyBorder="1" applyAlignment="1">
      <alignment horizontal="left" vertical="center"/>
    </xf>
    <xf numFmtId="0" fontId="32" fillId="6" borderId="1" xfId="0" applyFont="1" applyFill="1" applyBorder="1" applyAlignment="1">
      <alignment horizontal="left" vertical="center" wrapText="1"/>
    </xf>
    <xf numFmtId="2" fontId="31" fillId="2" borderId="0" xfId="0" applyNumberFormat="1" applyFont="1" applyFill="1"/>
    <xf numFmtId="0" fontId="2" fillId="7" borderId="5" xfId="0" applyFont="1" applyFill="1" applyBorder="1" applyAlignment="1">
      <alignment horizontal="center" vertical="center"/>
    </xf>
    <xf numFmtId="164" fontId="11" fillId="7" borderId="1" xfId="0" applyNumberFormat="1" applyFont="1" applyFill="1" applyBorder="1" applyAlignment="1">
      <alignment vertical="center" wrapText="1"/>
    </xf>
    <xf numFmtId="0" fontId="0" fillId="7" borderId="1" xfId="0" applyFill="1" applyBorder="1"/>
    <xf numFmtId="164" fontId="0" fillId="7" borderId="1" xfId="0" applyNumberFormat="1" applyFill="1" applyBorder="1"/>
    <xf numFmtId="0" fontId="0" fillId="6" borderId="1" xfId="0" applyFill="1" applyBorder="1" applyAlignment="1">
      <alignment horizontal="left" vertical="center"/>
    </xf>
    <xf numFmtId="0" fontId="21" fillId="0" borderId="1" xfId="0" applyFont="1" applyBorder="1" applyAlignment="1">
      <alignment vertical="center" wrapText="1"/>
    </xf>
    <xf numFmtId="0" fontId="21" fillId="6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1" fontId="21" fillId="2" borderId="1" xfId="0" applyNumberFormat="1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6" fillId="0" borderId="0" xfId="0" applyFont="1"/>
    <xf numFmtId="49" fontId="0" fillId="0" borderId="6" xfId="0" applyNumberFormat="1" applyBorder="1" applyAlignment="1">
      <alignment horizontal="left"/>
    </xf>
    <xf numFmtId="180" fontId="0" fillId="0" borderId="6" xfId="0" applyNumberFormat="1" applyBorder="1" applyAlignment="1">
      <alignment horizontal="left"/>
    </xf>
    <xf numFmtId="49" fontId="0" fillId="0" borderId="6" xfId="0" applyNumberFormat="1" applyBorder="1" applyAlignment="1">
      <alignment horizontal="right"/>
    </xf>
    <xf numFmtId="181" fontId="0" fillId="0" borderId="6" xfId="0" applyNumberFormat="1" applyBorder="1" applyAlignment="1">
      <alignment horizontal="right"/>
    </xf>
    <xf numFmtId="0" fontId="6" fillId="0" borderId="1" xfId="0" applyFont="1" applyBorder="1" applyAlignment="1">
      <alignment vertical="center" wrapText="1"/>
    </xf>
    <xf numFmtId="0" fontId="49" fillId="0" borderId="1" xfId="0" applyFont="1" applyBorder="1"/>
    <xf numFmtId="0" fontId="49" fillId="0" borderId="1" xfId="0" applyFont="1" applyBorder="1" applyAlignment="1">
      <alignment horizontal="left"/>
    </xf>
    <xf numFmtId="0" fontId="49" fillId="0" borderId="1" xfId="0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0" fontId="49" fillId="0" borderId="1" xfId="0" applyFont="1" applyBorder="1" applyAlignment="1">
      <alignment horizontal="right"/>
    </xf>
    <xf numFmtId="14" fontId="49" fillId="0" borderId="1" xfId="0" applyNumberFormat="1" applyFont="1" applyBorder="1" applyAlignment="1">
      <alignment horizontal="left"/>
    </xf>
    <xf numFmtId="0" fontId="49" fillId="0" borderId="9" xfId="0" applyFont="1" applyBorder="1" applyAlignment="1">
      <alignment horizontal="right"/>
    </xf>
    <xf numFmtId="0" fontId="49" fillId="0" borderId="0" xfId="0" applyFont="1"/>
    <xf numFmtId="0" fontId="49" fillId="0" borderId="0" xfId="0" applyFont="1" applyAlignment="1">
      <alignment horizontal="left"/>
    </xf>
    <xf numFmtId="0" fontId="49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181" fontId="50" fillId="23" borderId="2" xfId="0" applyNumberFormat="1" applyFont="1" applyFill="1" applyBorder="1"/>
    <xf numFmtId="0" fontId="49" fillId="0" borderId="0" xfId="0" applyFont="1" applyAlignment="1">
      <alignment horizontal="left" vertical="top"/>
    </xf>
    <xf numFmtId="0" fontId="49" fillId="0" borderId="1" xfId="0" applyFont="1" applyBorder="1" applyAlignment="1">
      <alignment horizontal="left" vertical="top"/>
    </xf>
    <xf numFmtId="0" fontId="49" fillId="16" borderId="1" xfId="0" applyFont="1" applyFill="1" applyBorder="1"/>
    <xf numFmtId="0" fontId="49" fillId="16" borderId="1" xfId="0" applyFont="1" applyFill="1" applyBorder="1" applyAlignment="1">
      <alignment horizontal="left"/>
    </xf>
    <xf numFmtId="0" fontId="49" fillId="16" borderId="1" xfId="0" applyFont="1" applyFill="1" applyBorder="1" applyAlignment="1">
      <alignment horizontal="center"/>
    </xf>
    <xf numFmtId="0" fontId="49" fillId="16" borderId="1" xfId="0" applyFont="1" applyFill="1" applyBorder="1" applyAlignment="1">
      <alignment horizontal="right"/>
    </xf>
    <xf numFmtId="0" fontId="51" fillId="16" borderId="1" xfId="0" applyFont="1" applyFill="1" applyBorder="1"/>
    <xf numFmtId="0" fontId="49" fillId="16" borderId="1" xfId="0" applyFont="1" applyFill="1" applyBorder="1" applyAlignment="1">
      <alignment horizontal="left" vertical="top"/>
    </xf>
    <xf numFmtId="0" fontId="49" fillId="6" borderId="1" xfId="0" applyFont="1" applyFill="1" applyBorder="1"/>
    <xf numFmtId="14" fontId="49" fillId="6" borderId="1" xfId="0" applyNumberFormat="1" applyFont="1" applyFill="1" applyBorder="1" applyAlignment="1">
      <alignment horizontal="left"/>
    </xf>
    <xf numFmtId="0" fontId="49" fillId="6" borderId="1" xfId="0" applyFont="1" applyFill="1" applyBorder="1" applyAlignment="1">
      <alignment horizontal="center"/>
    </xf>
    <xf numFmtId="0" fontId="49" fillId="6" borderId="1" xfId="0" applyFont="1" applyFill="1" applyBorder="1" applyAlignment="1">
      <alignment horizontal="right"/>
    </xf>
    <xf numFmtId="0" fontId="49" fillId="6" borderId="1" xfId="0" applyFont="1" applyFill="1" applyBorder="1" applyAlignment="1">
      <alignment horizontal="left" vertical="top"/>
    </xf>
    <xf numFmtId="0" fontId="52" fillId="0" borderId="1" xfId="0" applyFont="1" applyBorder="1" applyAlignment="1">
      <alignment horizontal="left" vertical="center"/>
    </xf>
    <xf numFmtId="0" fontId="52" fillId="0" borderId="1" xfId="0" applyFont="1" applyBorder="1" applyAlignment="1">
      <alignment vertical="center"/>
    </xf>
    <xf numFmtId="0" fontId="52" fillId="0" borderId="1" xfId="0" applyFont="1" applyBorder="1" applyAlignment="1">
      <alignment horizontal="center" vertical="center"/>
    </xf>
    <xf numFmtId="1" fontId="52" fillId="18" borderId="1" xfId="0" applyNumberFormat="1" applyFont="1" applyFill="1" applyBorder="1" applyAlignment="1">
      <alignment horizontal="center" vertical="center"/>
    </xf>
    <xf numFmtId="0" fontId="52" fillId="6" borderId="1" xfId="0" applyFont="1" applyFill="1" applyBorder="1" applyAlignment="1">
      <alignment horizontal="center" vertical="center"/>
    </xf>
    <xf numFmtId="0" fontId="52" fillId="11" borderId="0" xfId="0" applyFont="1" applyFill="1"/>
    <xf numFmtId="0" fontId="52" fillId="0" borderId="0" xfId="0" applyFont="1"/>
    <xf numFmtId="2" fontId="52" fillId="0" borderId="0" xfId="0" applyNumberFormat="1" applyFont="1"/>
    <xf numFmtId="0" fontId="52" fillId="0" borderId="0" xfId="0" applyFont="1" applyAlignment="1">
      <alignment vertical="center"/>
    </xf>
    <xf numFmtId="0" fontId="52" fillId="0" borderId="1" xfId="0" applyFont="1" applyBorder="1" applyAlignment="1">
      <alignment vertical="center" wrapText="1"/>
    </xf>
    <xf numFmtId="1" fontId="52" fillId="0" borderId="0" xfId="0" applyNumberFormat="1" applyFont="1" applyAlignment="1">
      <alignment horizontal="center" vertical="center"/>
    </xf>
    <xf numFmtId="4" fontId="52" fillId="0" borderId="0" xfId="0" applyNumberFormat="1" applyFont="1" applyAlignment="1">
      <alignment vertical="center"/>
    </xf>
    <xf numFmtId="0" fontId="52" fillId="0" borderId="0" xfId="0" applyFont="1" applyAlignment="1">
      <alignment horizontal="right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 vertical="center" wrapText="1"/>
    </xf>
    <xf numFmtId="2" fontId="53" fillId="23" borderId="2" xfId="0" applyNumberFormat="1" applyFont="1" applyFill="1" applyBorder="1"/>
    <xf numFmtId="0" fontId="53" fillId="0" borderId="0" xfId="0" applyFont="1" applyAlignment="1">
      <alignment horizontal="center" vertical="center"/>
    </xf>
    <xf numFmtId="4" fontId="54" fillId="0" borderId="0" xfId="0" applyNumberFormat="1" applyFont="1" applyAlignment="1">
      <alignment vertical="center"/>
    </xf>
    <xf numFmtId="0" fontId="54" fillId="0" borderId="0" xfId="0" applyFont="1" applyAlignment="1">
      <alignment vertical="center"/>
    </xf>
    <xf numFmtId="0" fontId="54" fillId="0" borderId="0" xfId="0" applyFont="1"/>
    <xf numFmtId="0" fontId="54" fillId="21" borderId="0" xfId="0" applyFont="1" applyFill="1" applyAlignment="1">
      <alignment horizontal="right" vertical="center"/>
    </xf>
    <xf numFmtId="1" fontId="53" fillId="21" borderId="0" xfId="0" applyNumberFormat="1" applyFont="1" applyFill="1" applyAlignment="1">
      <alignment horizontal="center" vertical="center"/>
    </xf>
    <xf numFmtId="0" fontId="54" fillId="0" borderId="0" xfId="0" applyFont="1" applyAlignment="1">
      <alignment horizontal="right" vertical="center"/>
    </xf>
    <xf numFmtId="0" fontId="53" fillId="0" borderId="0" xfId="0" applyFont="1" applyAlignment="1">
      <alignment vertical="center"/>
    </xf>
    <xf numFmtId="0" fontId="53" fillId="6" borderId="0" xfId="0" applyFont="1" applyFill="1" applyAlignment="1">
      <alignment horizontal="left" vertical="center"/>
    </xf>
    <xf numFmtId="0" fontId="52" fillId="0" borderId="1" xfId="0" applyFont="1" applyBorder="1"/>
    <xf numFmtId="0" fontId="53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 wrapText="1"/>
    </xf>
    <xf numFmtId="0" fontId="52" fillId="2" borderId="1" xfId="1" applyFont="1" applyFill="1" applyBorder="1" applyAlignment="1">
      <alignment horizontal="left" vertical="center"/>
    </xf>
    <xf numFmtId="164" fontId="52" fillId="2" borderId="1" xfId="0" applyNumberFormat="1" applyFont="1" applyFill="1" applyBorder="1" applyAlignment="1">
      <alignment horizontal="left" vertical="center"/>
    </xf>
    <xf numFmtId="0" fontId="52" fillId="2" borderId="1" xfId="0" applyFont="1" applyFill="1" applyBorder="1" applyAlignment="1">
      <alignment vertical="center" wrapText="1"/>
    </xf>
    <xf numFmtId="0" fontId="52" fillId="2" borderId="1" xfId="0" applyFont="1" applyFill="1" applyBorder="1" applyAlignment="1">
      <alignment horizontal="center" vertical="center"/>
    </xf>
    <xf numFmtId="1" fontId="52" fillId="2" borderId="1" xfId="0" applyNumberFormat="1" applyFont="1" applyFill="1" applyBorder="1" applyAlignment="1">
      <alignment horizontal="center" vertical="center"/>
    </xf>
    <xf numFmtId="2" fontId="52" fillId="2" borderId="1" xfId="0" applyNumberFormat="1" applyFont="1" applyFill="1" applyBorder="1" applyAlignment="1">
      <alignment horizontal="left" vertical="center"/>
    </xf>
    <xf numFmtId="2" fontId="52" fillId="2" borderId="1" xfId="0" applyNumberFormat="1" applyFont="1" applyFill="1" applyBorder="1" applyAlignment="1">
      <alignment horizontal="center" vertical="center"/>
    </xf>
    <xf numFmtId="1" fontId="53" fillId="2" borderId="1" xfId="0" applyNumberFormat="1" applyFont="1" applyFill="1" applyBorder="1" applyAlignment="1">
      <alignment horizontal="center" vertical="center"/>
    </xf>
    <xf numFmtId="2" fontId="53" fillId="2" borderId="1" xfId="0" applyNumberFormat="1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vertical="center"/>
    </xf>
    <xf numFmtId="0" fontId="52" fillId="2" borderId="1" xfId="0" applyFont="1" applyFill="1" applyBorder="1" applyAlignment="1">
      <alignment horizontal="left" vertical="center"/>
    </xf>
    <xf numFmtId="0" fontId="52" fillId="2" borderId="1" xfId="0" applyFont="1" applyFill="1" applyBorder="1" applyAlignment="1">
      <alignment horizontal="left" vertical="center" wrapText="1"/>
    </xf>
    <xf numFmtId="0" fontId="52" fillId="6" borderId="0" xfId="0" applyFont="1" applyFill="1" applyAlignment="1">
      <alignment horizontal="center" vertical="center"/>
    </xf>
    <xf numFmtId="2" fontId="52" fillId="0" borderId="0" xfId="0" applyNumberFormat="1" applyFont="1" applyAlignment="1">
      <alignment horizontal="center" vertical="center"/>
    </xf>
    <xf numFmtId="0" fontId="52" fillId="2" borderId="0" xfId="0" applyFont="1" applyFill="1" applyAlignment="1">
      <alignment vertical="center"/>
    </xf>
    <xf numFmtId="2" fontId="53" fillId="23" borderId="10" xfId="0" applyNumberFormat="1" applyFont="1" applyFill="1" applyBorder="1" applyAlignment="1">
      <alignment horizontal="center" vertical="center"/>
    </xf>
    <xf numFmtId="0" fontId="53" fillId="23" borderId="17" xfId="0" applyFont="1" applyFill="1" applyBorder="1" applyAlignment="1">
      <alignment vertical="center"/>
    </xf>
    <xf numFmtId="49" fontId="41" fillId="0" borderId="6" xfId="0" applyNumberFormat="1" applyFont="1" applyBorder="1" applyAlignment="1">
      <alignment horizontal="left"/>
    </xf>
    <xf numFmtId="180" fontId="41" fillId="0" borderId="6" xfId="0" applyNumberFormat="1" applyFont="1" applyBorder="1" applyAlignment="1">
      <alignment horizontal="left"/>
    </xf>
    <xf numFmtId="49" fontId="41" fillId="0" borderId="6" xfId="0" applyNumberFormat="1" applyFont="1" applyBorder="1" applyAlignment="1">
      <alignment horizontal="right"/>
    </xf>
    <xf numFmtId="181" fontId="41" fillId="0" borderId="6" xfId="0" applyNumberFormat="1" applyFont="1" applyBorder="1" applyAlignment="1">
      <alignment horizontal="right"/>
    </xf>
    <xf numFmtId="181" fontId="53" fillId="23" borderId="2" xfId="0" applyNumberFormat="1" applyFont="1" applyFill="1" applyBorder="1" applyAlignment="1">
      <alignment vertical="center"/>
    </xf>
    <xf numFmtId="181" fontId="53" fillId="17" borderId="2" xfId="0" applyNumberFormat="1" applyFont="1" applyFill="1" applyBorder="1" applyAlignment="1">
      <alignment vertical="center"/>
    </xf>
    <xf numFmtId="181" fontId="52" fillId="23" borderId="2" xfId="0" applyNumberFormat="1" applyFont="1" applyFill="1" applyBorder="1" applyAlignment="1">
      <alignment vertical="center"/>
    </xf>
    <xf numFmtId="49" fontId="41" fillId="0" borderId="1" xfId="0" applyNumberFormat="1" applyFont="1" applyBorder="1" applyAlignment="1">
      <alignment horizontal="left"/>
    </xf>
    <xf numFmtId="180" fontId="41" fillId="0" borderId="1" xfId="0" applyNumberFormat="1" applyFont="1" applyBorder="1" applyAlignment="1">
      <alignment horizontal="left"/>
    </xf>
    <xf numFmtId="49" fontId="41" fillId="0" borderId="1" xfId="0" applyNumberFormat="1" applyFont="1" applyBorder="1" applyAlignment="1">
      <alignment horizontal="right"/>
    </xf>
    <xf numFmtId="181" fontId="41" fillId="0" borderId="1" xfId="0" applyNumberFormat="1" applyFont="1" applyBorder="1" applyAlignment="1">
      <alignment horizontal="right"/>
    </xf>
    <xf numFmtId="49" fontId="41" fillId="0" borderId="0" xfId="0" applyNumberFormat="1" applyFont="1" applyAlignment="1">
      <alignment horizontal="left"/>
    </xf>
    <xf numFmtId="180" fontId="41" fillId="0" borderId="0" xfId="0" applyNumberFormat="1" applyFont="1" applyAlignment="1">
      <alignment horizontal="left"/>
    </xf>
    <xf numFmtId="49" fontId="41" fillId="0" borderId="0" xfId="0" applyNumberFormat="1" applyFont="1" applyAlignment="1">
      <alignment horizontal="right"/>
    </xf>
    <xf numFmtId="181" fontId="41" fillId="0" borderId="0" xfId="0" applyNumberFormat="1" applyFont="1" applyAlignment="1">
      <alignment horizontal="right"/>
    </xf>
    <xf numFmtId="49" fontId="41" fillId="6" borderId="1" xfId="0" applyNumberFormat="1" applyFont="1" applyFill="1" applyBorder="1" applyAlignment="1">
      <alignment horizontal="left"/>
    </xf>
    <xf numFmtId="182" fontId="0" fillId="0" borderId="6" xfId="0" applyNumberFormat="1" applyBorder="1" applyAlignment="1">
      <alignment horizontal="right"/>
    </xf>
    <xf numFmtId="183" fontId="0" fillId="0" borderId="6" xfId="0" applyNumberFormat="1" applyBorder="1" applyAlignment="1">
      <alignment horizontal="left"/>
    </xf>
    <xf numFmtId="181" fontId="0" fillId="0" borderId="14" xfId="0" applyNumberFormat="1" applyBorder="1" applyAlignment="1">
      <alignment horizontal="right"/>
    </xf>
    <xf numFmtId="181" fontId="53" fillId="23" borderId="2" xfId="0" applyNumberFormat="1" applyFont="1" applyFill="1" applyBorder="1"/>
    <xf numFmtId="181" fontId="52" fillId="0" borderId="0" xfId="0" applyNumberFormat="1" applyFont="1" applyAlignment="1">
      <alignment vertical="center"/>
    </xf>
    <xf numFmtId="0" fontId="53" fillId="11" borderId="1" xfId="0" applyFont="1" applyFill="1" applyBorder="1" applyAlignment="1">
      <alignment vertical="center" wrapText="1"/>
    </xf>
    <xf numFmtId="0" fontId="52" fillId="11" borderId="1" xfId="0" applyFont="1" applyFill="1" applyBorder="1"/>
    <xf numFmtId="0" fontId="56" fillId="11" borderId="1" xfId="0" applyFont="1" applyFill="1" applyBorder="1" applyAlignment="1">
      <alignment vertical="center" wrapText="1"/>
    </xf>
    <xf numFmtId="184" fontId="0" fillId="0" borderId="0" xfId="0" applyNumberFormat="1"/>
    <xf numFmtId="9" fontId="2" fillId="6" borderId="1" xfId="0" applyNumberFormat="1" applyFont="1" applyFill="1" applyBorder="1" applyAlignment="1">
      <alignment horizontal="center" vertical="center"/>
    </xf>
    <xf numFmtId="165" fontId="2" fillId="0" borderId="0" xfId="0" applyNumberFormat="1" applyFont="1"/>
    <xf numFmtId="172" fontId="2" fillId="5" borderId="1" xfId="0" applyNumberFormat="1" applyFont="1" applyFill="1" applyBorder="1" applyAlignment="1">
      <alignment vertical="center"/>
    </xf>
    <xf numFmtId="2" fontId="2" fillId="0" borderId="0" xfId="0" applyNumberFormat="1" applyFont="1"/>
    <xf numFmtId="0" fontId="52" fillId="11" borderId="1" xfId="1" applyFont="1" applyFill="1" applyBorder="1" applyAlignment="1">
      <alignment horizontal="left" vertical="center"/>
    </xf>
    <xf numFmtId="164" fontId="52" fillId="11" borderId="1" xfId="0" applyNumberFormat="1" applyFont="1" applyFill="1" applyBorder="1" applyAlignment="1">
      <alignment horizontal="left" vertical="center"/>
    </xf>
    <xf numFmtId="0" fontId="52" fillId="11" borderId="1" xfId="0" applyFont="1" applyFill="1" applyBorder="1" applyAlignment="1">
      <alignment vertical="center"/>
    </xf>
    <xf numFmtId="0" fontId="52" fillId="11" borderId="1" xfId="0" applyFont="1" applyFill="1" applyBorder="1" applyAlignment="1">
      <alignment horizontal="center" vertical="center"/>
    </xf>
    <xf numFmtId="1" fontId="52" fillId="11" borderId="1" xfId="0" applyNumberFormat="1" applyFont="1" applyFill="1" applyBorder="1" applyAlignment="1">
      <alignment horizontal="center" vertical="center"/>
    </xf>
    <xf numFmtId="2" fontId="52" fillId="11" borderId="1" xfId="0" applyNumberFormat="1" applyFont="1" applyFill="1" applyBorder="1" applyAlignment="1">
      <alignment horizontal="center" vertical="center"/>
    </xf>
    <xf numFmtId="1" fontId="53" fillId="11" borderId="1" xfId="0" applyNumberFormat="1" applyFont="1" applyFill="1" applyBorder="1" applyAlignment="1">
      <alignment horizontal="center" vertical="center"/>
    </xf>
    <xf numFmtId="2" fontId="53" fillId="11" borderId="1" xfId="0" applyNumberFormat="1" applyFont="1" applyFill="1" applyBorder="1" applyAlignment="1">
      <alignment horizontal="center" vertical="center"/>
    </xf>
    <xf numFmtId="2" fontId="52" fillId="11" borderId="1" xfId="0" applyNumberFormat="1" applyFont="1" applyFill="1" applyBorder="1" applyAlignment="1">
      <alignment vertical="center"/>
    </xf>
    <xf numFmtId="164" fontId="52" fillId="11" borderId="1" xfId="0" applyNumberFormat="1" applyFont="1" applyFill="1" applyBorder="1" applyAlignment="1">
      <alignment horizontal="left" vertical="center" wrapText="1"/>
    </xf>
    <xf numFmtId="0" fontId="52" fillId="11" borderId="1" xfId="0" applyFont="1" applyFill="1" applyBorder="1" applyAlignment="1">
      <alignment vertical="center" wrapText="1"/>
    </xf>
    <xf numFmtId="0" fontId="52" fillId="11" borderId="1" xfId="0" applyFont="1" applyFill="1" applyBorder="1" applyAlignment="1">
      <alignment horizontal="left" vertical="center"/>
    </xf>
    <xf numFmtId="0" fontId="52" fillId="11" borderId="1" xfId="0" applyFont="1" applyFill="1" applyBorder="1" applyAlignment="1">
      <alignment horizontal="left" vertical="center" wrapText="1"/>
    </xf>
    <xf numFmtId="0" fontId="5" fillId="15" borderId="1" xfId="0" applyFont="1" applyFill="1" applyBorder="1" applyAlignment="1">
      <alignment horizontal="center" wrapText="1"/>
    </xf>
    <xf numFmtId="0" fontId="28" fillId="0" borderId="0" xfId="1" applyFont="1" applyAlignment="1">
      <alignment vertical="center"/>
    </xf>
    <xf numFmtId="164" fontId="0" fillId="6" borderId="1" xfId="0" applyNumberFormat="1" applyFill="1" applyBorder="1"/>
    <xf numFmtId="164" fontId="0" fillId="6" borderId="1" xfId="0" applyNumberFormat="1" applyFill="1" applyBorder="1" applyAlignment="1">
      <alignment horizontal="left" vertical="center"/>
    </xf>
    <xf numFmtId="0" fontId="18" fillId="14" borderId="10" xfId="0" applyFont="1" applyFill="1" applyBorder="1" applyAlignment="1">
      <alignment vertical="center"/>
    </xf>
    <xf numFmtId="2" fontId="10" fillId="0" borderId="2" xfId="0" applyNumberFormat="1" applyFont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164" fontId="10" fillId="6" borderId="1" xfId="0" applyNumberFormat="1" applyFont="1" applyFill="1" applyBorder="1" applyAlignment="1">
      <alignment vertical="center"/>
    </xf>
    <xf numFmtId="0" fontId="0" fillId="6" borderId="1" xfId="0" applyFill="1" applyBorder="1" applyAlignment="1">
      <alignment horizontal="center" vertical="center" wrapText="1"/>
    </xf>
    <xf numFmtId="0" fontId="0" fillId="20" borderId="1" xfId="0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left" vertical="center" wrapText="1"/>
    </xf>
    <xf numFmtId="164" fontId="0" fillId="20" borderId="1" xfId="0" applyNumberFormat="1" applyFill="1" applyBorder="1"/>
    <xf numFmtId="164" fontId="12" fillId="8" borderId="1" xfId="0" applyNumberFormat="1" applyFont="1" applyFill="1" applyBorder="1" applyAlignment="1">
      <alignment horizontal="center" vertical="center"/>
    </xf>
    <xf numFmtId="164" fontId="0" fillId="8" borderId="1" xfId="0" applyNumberFormat="1" applyFill="1" applyBorder="1" applyAlignment="1">
      <alignment vertical="center"/>
    </xf>
    <xf numFmtId="0" fontId="0" fillId="17" borderId="1" xfId="0" applyFill="1" applyBorder="1" applyAlignment="1">
      <alignment vertical="center"/>
    </xf>
    <xf numFmtId="164" fontId="0" fillId="6" borderId="1" xfId="0" applyNumberFormat="1" applyFill="1" applyBorder="1" applyAlignment="1">
      <alignment horizontal="right" vertical="center" wrapText="1"/>
    </xf>
    <xf numFmtId="0" fontId="0" fillId="6" borderId="5" xfId="0" applyFill="1" applyBorder="1" applyAlignment="1">
      <alignment horizontal="left" vertical="center"/>
    </xf>
    <xf numFmtId="164" fontId="10" fillId="6" borderId="1" xfId="0" applyNumberFormat="1" applyFont="1" applyFill="1" applyBorder="1" applyAlignment="1">
      <alignment horizontal="center" vertical="center"/>
    </xf>
    <xf numFmtId="164" fontId="0" fillId="6" borderId="0" xfId="0" applyNumberFormat="1" applyFill="1"/>
    <xf numFmtId="0" fontId="18" fillId="0" borderId="0" xfId="0" applyFont="1"/>
    <xf numFmtId="0" fontId="0" fillId="6" borderId="1" xfId="0" applyFill="1" applyBorder="1" applyAlignment="1">
      <alignment horizontal="right" vertical="center"/>
    </xf>
    <xf numFmtId="0" fontId="0" fillId="6" borderId="1" xfId="0" applyFill="1" applyBorder="1" applyAlignment="1">
      <alignment horizontal="right"/>
    </xf>
    <xf numFmtId="0" fontId="0" fillId="6" borderId="0" xfId="0" applyFill="1" applyAlignment="1">
      <alignment horizontal="right"/>
    </xf>
    <xf numFmtId="4" fontId="0" fillId="6" borderId="1" xfId="0" applyNumberFormat="1" applyFill="1" applyBorder="1" applyAlignment="1">
      <alignment vertical="center"/>
    </xf>
    <xf numFmtId="0" fontId="5" fillId="6" borderId="0" xfId="0" applyFont="1" applyFill="1"/>
    <xf numFmtId="164" fontId="12" fillId="6" borderId="1" xfId="0" applyNumberFormat="1" applyFont="1" applyFill="1" applyBorder="1" applyAlignment="1">
      <alignment horizontal="center" vertical="center"/>
    </xf>
    <xf numFmtId="2" fontId="17" fillId="0" borderId="0" xfId="0" applyNumberFormat="1" applyFont="1" applyAlignment="1">
      <alignment horizontal="left"/>
    </xf>
    <xf numFmtId="0" fontId="5" fillId="14" borderId="0" xfId="0" applyFont="1" applyFill="1" applyAlignment="1">
      <alignment vertical="center"/>
    </xf>
    <xf numFmtId="0" fontId="18" fillId="0" borderId="2" xfId="0" applyFont="1" applyBorder="1" applyAlignment="1">
      <alignment horizontal="left" vertical="center"/>
    </xf>
    <xf numFmtId="2" fontId="10" fillId="0" borderId="19" xfId="0" applyNumberFormat="1" applyFont="1" applyBorder="1" applyAlignment="1">
      <alignment vertical="center"/>
    </xf>
    <xf numFmtId="0" fontId="18" fillId="14" borderId="1" xfId="0" applyFont="1" applyFill="1" applyBorder="1" applyAlignment="1">
      <alignment vertical="center"/>
    </xf>
    <xf numFmtId="164" fontId="12" fillId="5" borderId="1" xfId="0" applyNumberFormat="1" applyFont="1" applyFill="1" applyBorder="1" applyAlignment="1">
      <alignment horizontal="center" vertical="center"/>
    </xf>
    <xf numFmtId="164" fontId="10" fillId="6" borderId="0" xfId="0" applyNumberFormat="1" applyFont="1" applyFill="1" applyAlignment="1">
      <alignment vertical="center"/>
    </xf>
    <xf numFmtId="179" fontId="0" fillId="20" borderId="1" xfId="0" applyNumberFormat="1" applyFill="1" applyBorder="1"/>
    <xf numFmtId="0" fontId="0" fillId="0" borderId="3" xfId="0" applyBorder="1"/>
    <xf numFmtId="2" fontId="17" fillId="0" borderId="0" xfId="0" applyNumberFormat="1" applyFont="1" applyAlignment="1">
      <alignment horizontal="left" vertical="center"/>
    </xf>
    <xf numFmtId="2" fontId="10" fillId="5" borderId="1" xfId="0" applyNumberFormat="1" applyFont="1" applyFill="1" applyBorder="1"/>
    <xf numFmtId="0" fontId="10" fillId="14" borderId="0" xfId="0" applyFont="1" applyFill="1" applyAlignment="1">
      <alignment vertical="center"/>
    </xf>
    <xf numFmtId="164" fontId="12" fillId="10" borderId="1" xfId="0" applyNumberFormat="1" applyFont="1" applyFill="1" applyBorder="1" applyAlignment="1">
      <alignment horizontal="center" vertical="center"/>
    </xf>
    <xf numFmtId="2" fontId="10" fillId="10" borderId="1" xfId="0" applyNumberFormat="1" applyFont="1" applyFill="1" applyBorder="1"/>
    <xf numFmtId="0" fontId="0" fillId="6" borderId="1" xfId="0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/>
    </xf>
    <xf numFmtId="1" fontId="6" fillId="6" borderId="1" xfId="0" applyNumberFormat="1" applyFont="1" applyFill="1" applyBorder="1" applyAlignment="1">
      <alignment horizontal="left" vertical="center"/>
    </xf>
    <xf numFmtId="2" fontId="6" fillId="6" borderId="1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0" fillId="6" borderId="1" xfId="1" applyFont="1" applyFill="1" applyBorder="1" applyAlignment="1">
      <alignment horizontal="left" vertical="center"/>
    </xf>
    <xf numFmtId="2" fontId="0" fillId="6" borderId="1" xfId="0" applyNumberFormat="1" applyFill="1" applyBorder="1" applyAlignment="1">
      <alignment horizontal="left" vertical="center"/>
    </xf>
    <xf numFmtId="1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2" fontId="10" fillId="0" borderId="0" xfId="0" applyNumberFormat="1" applyFont="1" applyAlignment="1">
      <alignment horizontal="left" vertical="center"/>
    </xf>
    <xf numFmtId="0" fontId="32" fillId="6" borderId="0" xfId="0" applyFont="1" applyFill="1" applyAlignment="1">
      <alignment vertical="center"/>
    </xf>
    <xf numFmtId="0" fontId="32" fillId="0" borderId="0" xfId="1" applyFont="1"/>
    <xf numFmtId="0" fontId="52" fillId="6" borderId="0" xfId="0" applyFont="1" applyFill="1" applyAlignment="1">
      <alignment horizontal="left" vertical="center"/>
    </xf>
    <xf numFmtId="1" fontId="6" fillId="6" borderId="1" xfId="0" applyNumberFormat="1" applyFont="1" applyFill="1" applyBorder="1" applyAlignment="1">
      <alignment horizontal="right" vertical="center"/>
    </xf>
    <xf numFmtId="0" fontId="31" fillId="0" borderId="1" xfId="0" applyFont="1" applyBorder="1" applyAlignment="1">
      <alignment horizontal="center"/>
    </xf>
    <xf numFmtId="0" fontId="33" fillId="6" borderId="1" xfId="1" applyFont="1" applyFill="1" applyBorder="1" applyAlignment="1">
      <alignment horizontal="left" vertical="center"/>
    </xf>
    <xf numFmtId="1" fontId="31" fillId="0" borderId="1" xfId="0" applyNumberFormat="1" applyFont="1" applyBorder="1" applyAlignment="1">
      <alignment horizontal="center" vertical="center"/>
    </xf>
    <xf numFmtId="2" fontId="31" fillId="0" borderId="1" xfId="0" applyNumberFormat="1" applyFont="1" applyBorder="1" applyAlignment="1">
      <alignment horizontal="center" vertical="center"/>
    </xf>
    <xf numFmtId="0" fontId="19" fillId="6" borderId="1" xfId="1" applyFont="1" applyFill="1" applyBorder="1" applyAlignment="1">
      <alignment horizontal="left" vertical="center"/>
    </xf>
    <xf numFmtId="2" fontId="17" fillId="2" borderId="0" xfId="0" applyNumberFormat="1" applyFont="1" applyFill="1"/>
    <xf numFmtId="0" fontId="58" fillId="0" borderId="0" xfId="1" applyFont="1"/>
    <xf numFmtId="0" fontId="2" fillId="0" borderId="5" xfId="0" applyFont="1" applyBorder="1" applyAlignment="1">
      <alignment vertical="center" wrapText="1"/>
    </xf>
    <xf numFmtId="3" fontId="0" fillId="0" borderId="0" xfId="0" applyNumberFormat="1" applyAlignment="1">
      <alignment horizontal="center"/>
    </xf>
    <xf numFmtId="164" fontId="10" fillId="22" borderId="1" xfId="0" applyNumberFormat="1" applyFont="1" applyFill="1" applyBorder="1"/>
    <xf numFmtId="172" fontId="25" fillId="6" borderId="1" xfId="2" applyNumberFormat="1" applyFont="1" applyFill="1" applyBorder="1"/>
    <xf numFmtId="0" fontId="20" fillId="6" borderId="0" xfId="0" applyFont="1" applyFill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2" fontId="10" fillId="2" borderId="0" xfId="0" applyNumberFormat="1" applyFont="1" applyFill="1" applyAlignment="1">
      <alignment vertical="center"/>
    </xf>
    <xf numFmtId="2" fontId="0" fillId="0" borderId="0" xfId="0" applyNumberFormat="1" applyAlignment="1">
      <alignment vertical="center"/>
    </xf>
    <xf numFmtId="164" fontId="0" fillId="6" borderId="1" xfId="0" applyNumberFormat="1" applyFill="1" applyBorder="1" applyAlignment="1">
      <alignment vertical="center" wrapText="1"/>
    </xf>
    <xf numFmtId="2" fontId="0" fillId="6" borderId="1" xfId="0" applyNumberFormat="1" applyFill="1" applyBorder="1" applyAlignment="1">
      <alignment horizontal="center" vertical="center"/>
    </xf>
    <xf numFmtId="1" fontId="12" fillId="6" borderId="1" xfId="0" applyNumberFormat="1" applyFont="1" applyFill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1" fontId="6" fillId="1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0" fillId="0" borderId="0" xfId="0" applyFont="1"/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10" fillId="6" borderId="1" xfId="0" applyFont="1" applyFill="1" applyBorder="1" applyAlignment="1">
      <alignment horizontal="right"/>
    </xf>
    <xf numFmtId="2" fontId="10" fillId="6" borderId="9" xfId="0" applyNumberFormat="1" applyFont="1" applyFill="1" applyBorder="1"/>
    <xf numFmtId="2" fontId="10" fillId="7" borderId="20" xfId="0" applyNumberFormat="1" applyFont="1" applyFill="1" applyBorder="1" applyAlignment="1">
      <alignment horizontal="center"/>
    </xf>
    <xf numFmtId="2" fontId="10" fillId="7" borderId="21" xfId="0" applyNumberFormat="1" applyFont="1" applyFill="1" applyBorder="1" applyAlignment="1">
      <alignment horizontal="center"/>
    </xf>
    <xf numFmtId="2" fontId="10" fillId="7" borderId="22" xfId="0" applyNumberFormat="1" applyFont="1" applyFill="1" applyBorder="1" applyAlignment="1">
      <alignment horizontal="center"/>
    </xf>
    <xf numFmtId="0" fontId="25" fillId="0" borderId="0" xfId="1" applyFont="1" applyAlignment="1">
      <alignment horizontal="left" wrapText="1"/>
    </xf>
    <xf numFmtId="0" fontId="25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/>
    </xf>
    <xf numFmtId="2" fontId="21" fillId="6" borderId="9" xfId="0" applyNumberFormat="1" applyFont="1" applyFill="1" applyBorder="1" applyAlignment="1">
      <alignment horizontal="center" vertical="center"/>
    </xf>
    <xf numFmtId="2" fontId="21" fillId="6" borderId="14" xfId="0" applyNumberFormat="1" applyFont="1" applyFill="1" applyBorder="1" applyAlignment="1">
      <alignment horizontal="center" vertical="center"/>
    </xf>
    <xf numFmtId="2" fontId="21" fillId="6" borderId="3" xfId="0" applyNumberFormat="1" applyFont="1" applyFill="1" applyBorder="1" applyAlignment="1">
      <alignment horizontal="center" vertical="center"/>
    </xf>
    <xf numFmtId="2" fontId="17" fillId="6" borderId="9" xfId="0" applyNumberFormat="1" applyFont="1" applyFill="1" applyBorder="1" applyAlignment="1">
      <alignment horizontal="center" vertical="center"/>
    </xf>
    <xf numFmtId="2" fontId="17" fillId="6" borderId="14" xfId="0" applyNumberFormat="1" applyFont="1" applyFill="1" applyBorder="1" applyAlignment="1">
      <alignment horizontal="center" vertical="center"/>
    </xf>
    <xf numFmtId="2" fontId="17" fillId="6" borderId="3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164" fontId="31" fillId="6" borderId="1" xfId="0" applyNumberFormat="1" applyFont="1" applyFill="1" applyBorder="1" applyAlignment="1">
      <alignment horizontal="center" vertical="center" wrapText="1"/>
    </xf>
    <xf numFmtId="1" fontId="55" fillId="6" borderId="9" xfId="0" applyNumberFormat="1" applyFont="1" applyFill="1" applyBorder="1" applyAlignment="1">
      <alignment horizontal="center" vertical="center"/>
    </xf>
    <xf numFmtId="1" fontId="55" fillId="6" borderId="14" xfId="0" applyNumberFormat="1" applyFont="1" applyFill="1" applyBorder="1" applyAlignment="1">
      <alignment horizontal="center" vertical="center"/>
    </xf>
    <xf numFmtId="1" fontId="55" fillId="6" borderId="3" xfId="0" applyNumberFormat="1" applyFont="1" applyFill="1" applyBorder="1" applyAlignment="1">
      <alignment horizontal="center" vertical="center"/>
    </xf>
    <xf numFmtId="0" fontId="18" fillId="15" borderId="5" xfId="0" applyFont="1" applyFill="1" applyBorder="1" applyAlignment="1">
      <alignment horizontal="center" vertical="center"/>
    </xf>
    <xf numFmtId="0" fontId="18" fillId="15" borderId="8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9" fillId="5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0" fillId="11" borderId="1" xfId="0" applyFont="1" applyFill="1" applyBorder="1" applyAlignment="1">
      <alignment horizont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wrapText="1"/>
    </xf>
    <xf numFmtId="0" fontId="5" fillId="11" borderId="8" xfId="0" applyFont="1" applyFill="1" applyBorder="1" applyAlignment="1">
      <alignment horizontal="center" wrapText="1"/>
    </xf>
    <xf numFmtId="0" fontId="17" fillId="11" borderId="1" xfId="0" applyFont="1" applyFill="1" applyBorder="1" applyAlignment="1">
      <alignment horizontal="center" wrapText="1"/>
    </xf>
    <xf numFmtId="0" fontId="13" fillId="11" borderId="1" xfId="0" applyFont="1" applyFill="1" applyBorder="1" applyAlignment="1">
      <alignment horizont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11" borderId="5" xfId="0" applyFont="1" applyFill="1" applyBorder="1" applyAlignment="1">
      <alignment horizontal="center" wrapText="1"/>
    </xf>
    <xf numFmtId="0" fontId="13" fillId="11" borderId="8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7" fillId="11" borderId="0" xfId="0" applyFont="1" applyFill="1" applyAlignment="1">
      <alignment horizontal="center" wrapText="1"/>
    </xf>
    <xf numFmtId="0" fontId="17" fillId="11" borderId="16" xfId="0" applyFont="1" applyFill="1" applyBorder="1" applyAlignment="1">
      <alignment horizontal="center" wrapText="1"/>
    </xf>
    <xf numFmtId="0" fontId="18" fillId="14" borderId="0" xfId="0" applyFont="1" applyFill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42" fillId="14" borderId="0" xfId="0" applyFont="1" applyFill="1" applyAlignment="1">
      <alignment horizontal="left" vertical="center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" xfId="0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31" fillId="0" borderId="5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31" fillId="6" borderId="9" xfId="1" applyFont="1" applyFill="1" applyBorder="1" applyAlignment="1">
      <alignment horizontal="center" vertical="center"/>
    </xf>
    <xf numFmtId="0" fontId="31" fillId="6" borderId="14" xfId="1" applyFont="1" applyFill="1" applyBorder="1" applyAlignment="1">
      <alignment horizontal="center" vertical="center"/>
    </xf>
    <xf numFmtId="0" fontId="31" fillId="6" borderId="3" xfId="1" applyFont="1" applyFill="1" applyBorder="1" applyAlignment="1">
      <alignment horizontal="center" vertical="center"/>
    </xf>
    <xf numFmtId="0" fontId="31" fillId="6" borderId="15" xfId="1" applyFont="1" applyFill="1" applyBorder="1" applyAlignment="1">
      <alignment horizontal="left" vertical="center" wrapText="1"/>
    </xf>
    <xf numFmtId="0" fontId="31" fillId="6" borderId="18" xfId="1" applyFont="1" applyFill="1" applyBorder="1" applyAlignment="1">
      <alignment horizontal="left" vertical="center" wrapText="1"/>
    </xf>
    <xf numFmtId="0" fontId="31" fillId="6" borderId="6" xfId="1" applyFont="1" applyFill="1" applyBorder="1" applyAlignment="1">
      <alignment horizontal="left" vertical="center" wrapText="1"/>
    </xf>
    <xf numFmtId="0" fontId="31" fillId="6" borderId="16" xfId="1" applyFont="1" applyFill="1" applyBorder="1" applyAlignment="1">
      <alignment horizontal="left" vertical="center" wrapText="1"/>
    </xf>
    <xf numFmtId="0" fontId="31" fillId="6" borderId="4" xfId="1" applyFont="1" applyFill="1" applyBorder="1" applyAlignment="1">
      <alignment horizontal="left" vertical="center" wrapText="1"/>
    </xf>
    <xf numFmtId="0" fontId="31" fillId="6" borderId="12" xfId="1" applyFont="1" applyFill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31" fillId="0" borderId="18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16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left" vertical="center" wrapText="1"/>
    </xf>
    <xf numFmtId="2" fontId="31" fillId="6" borderId="9" xfId="0" applyNumberFormat="1" applyFont="1" applyFill="1" applyBorder="1" applyAlignment="1">
      <alignment horizontal="center" vertical="center"/>
    </xf>
    <xf numFmtId="2" fontId="31" fillId="6" borderId="3" xfId="0" applyNumberFormat="1" applyFont="1" applyFill="1" applyBorder="1" applyAlignment="1">
      <alignment horizontal="center" vertical="center"/>
    </xf>
    <xf numFmtId="1" fontId="17" fillId="6" borderId="9" xfId="0" applyNumberFormat="1" applyFont="1" applyFill="1" applyBorder="1" applyAlignment="1">
      <alignment horizontal="center" vertical="center"/>
    </xf>
    <xf numFmtId="1" fontId="17" fillId="6" borderId="3" xfId="0" applyNumberFormat="1" applyFont="1" applyFill="1" applyBorder="1" applyAlignment="1">
      <alignment horizontal="center" vertical="center"/>
    </xf>
    <xf numFmtId="0" fontId="31" fillId="6" borderId="1" xfId="1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left" vertical="center" wrapText="1"/>
    </xf>
    <xf numFmtId="1" fontId="31" fillId="6" borderId="9" xfId="0" applyNumberFormat="1" applyFont="1" applyFill="1" applyBorder="1" applyAlignment="1">
      <alignment horizontal="center" vertical="center"/>
    </xf>
    <xf numFmtId="1" fontId="31" fillId="6" borderId="3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/>
    </xf>
    <xf numFmtId="0" fontId="9" fillId="5" borderId="8" xfId="0" applyFont="1" applyFill="1" applyBorder="1" applyAlignment="1">
      <alignment horizontal="left"/>
    </xf>
    <xf numFmtId="0" fontId="12" fillId="4" borderId="5" xfId="0" applyFont="1" applyFill="1" applyBorder="1" applyAlignment="1">
      <alignment horizontal="left" wrapText="1"/>
    </xf>
    <xf numFmtId="0" fontId="12" fillId="4" borderId="8" xfId="0" applyFont="1" applyFill="1" applyBorder="1" applyAlignment="1">
      <alignment horizontal="left" wrapText="1"/>
    </xf>
    <xf numFmtId="0" fontId="9" fillId="5" borderId="7" xfId="0" applyFont="1" applyFill="1" applyBorder="1" applyAlignment="1">
      <alignment horizontal="left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2" fontId="0" fillId="6" borderId="9" xfId="0" applyNumberFormat="1" applyFill="1" applyBorder="1" applyAlignment="1">
      <alignment horizontal="center" vertical="center"/>
    </xf>
    <xf numFmtId="2" fontId="0" fillId="6" borderId="14" xfId="0" applyNumberFormat="1" applyFill="1" applyBorder="1" applyAlignment="1">
      <alignment horizontal="center" vertical="center"/>
    </xf>
    <xf numFmtId="2" fontId="0" fillId="6" borderId="3" xfId="0" applyNumberFormat="1" applyFill="1" applyBorder="1" applyAlignment="1">
      <alignment horizontal="center" vertical="center"/>
    </xf>
    <xf numFmtId="1" fontId="12" fillId="6" borderId="9" xfId="0" applyNumberFormat="1" applyFont="1" applyFill="1" applyBorder="1" applyAlignment="1">
      <alignment horizontal="center" vertical="center"/>
    </xf>
    <xf numFmtId="1" fontId="12" fillId="6" borderId="14" xfId="0" applyNumberFormat="1" applyFont="1" applyFill="1" applyBorder="1" applyAlignment="1">
      <alignment horizontal="center" vertical="center"/>
    </xf>
    <xf numFmtId="1" fontId="12" fillId="6" borderId="3" xfId="0" applyNumberFormat="1" applyFont="1" applyFill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2" fontId="6" fillId="6" borderId="1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0" fillId="6" borderId="9" xfId="0" applyNumberFormat="1" applyFill="1" applyBorder="1" applyAlignment="1">
      <alignment horizontal="left" vertical="center" wrapText="1"/>
    </xf>
    <xf numFmtId="164" fontId="0" fillId="6" borderId="14" xfId="0" applyNumberFormat="1" applyFill="1" applyBorder="1" applyAlignment="1">
      <alignment horizontal="left" vertical="center" wrapText="1"/>
    </xf>
    <xf numFmtId="164" fontId="0" fillId="6" borderId="3" xfId="0" applyNumberFormat="1" applyFill="1" applyBorder="1" applyAlignment="1">
      <alignment horizontal="left" vertical="center" wrapText="1"/>
    </xf>
    <xf numFmtId="1" fontId="6" fillId="18" borderId="9" xfId="0" applyNumberFormat="1" applyFont="1" applyFill="1" applyBorder="1" applyAlignment="1">
      <alignment horizontal="center" vertical="center"/>
    </xf>
    <xf numFmtId="1" fontId="6" fillId="18" borderId="14" xfId="0" applyNumberFormat="1" applyFont="1" applyFill="1" applyBorder="1" applyAlignment="1">
      <alignment horizontal="center" vertical="center"/>
    </xf>
    <xf numFmtId="1" fontId="6" fillId="18" borderId="3" xfId="0" applyNumberFormat="1" applyFont="1" applyFill="1" applyBorder="1" applyAlignment="1">
      <alignment horizontal="center" vertical="center"/>
    </xf>
    <xf numFmtId="2" fontId="6" fillId="6" borderId="9" xfId="0" applyNumberFormat="1" applyFont="1" applyFill="1" applyBorder="1" applyAlignment="1">
      <alignment horizontal="center" vertical="center"/>
    </xf>
    <xf numFmtId="2" fontId="6" fillId="6" borderId="14" xfId="0" applyNumberFormat="1" applyFont="1" applyFill="1" applyBorder="1" applyAlignment="1">
      <alignment horizontal="center" vertical="center"/>
    </xf>
    <xf numFmtId="2" fontId="6" fillId="6" borderId="3" xfId="0" applyNumberFormat="1" applyFont="1" applyFill="1" applyBorder="1" applyAlignment="1">
      <alignment horizontal="center" vertical="center"/>
    </xf>
  </cellXfs>
  <cellStyles count="7">
    <cellStyle name="Comma 2" xfId="3" xr:uid="{A8610490-FAB7-4656-9E1B-5D13BB1687D7}"/>
    <cellStyle name="Komats 2" xfId="6" xr:uid="{C368D2FC-AD1B-4EFF-914B-20DFD53EF136}"/>
    <cellStyle name="Normal" xfId="0" builtinId="0"/>
    <cellStyle name="Normal 2" xfId="1" xr:uid="{B3E43578-0E15-496E-A73D-7D7255464AC6}"/>
    <cellStyle name="Parasts 2" xfId="4" xr:uid="{55A68B8F-9252-4079-904A-48F068F0FE4D}"/>
    <cellStyle name="Percent" xfId="5" builtinId="5"/>
    <cellStyle name="Percent 2" xfId="2" xr:uid="{83827CBD-623E-492E-AEB4-D6203F1D297E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CA5E1-A098-473B-BFC9-7624A278328E}">
  <dimension ref="C2:G14"/>
  <sheetViews>
    <sheetView workbookViewId="0">
      <selection activeCell="C14" sqref="C14"/>
    </sheetView>
  </sheetViews>
  <sheetFormatPr defaultRowHeight="15" x14ac:dyDescent="0.25"/>
  <cols>
    <col min="3" max="3" width="31.7109375" customWidth="1"/>
    <col min="4" max="4" width="9.5703125" customWidth="1"/>
    <col min="5" max="5" width="11.7109375" customWidth="1"/>
    <col min="6" max="6" width="12.7109375" customWidth="1"/>
  </cols>
  <sheetData>
    <row r="2" spans="3:7" x14ac:dyDescent="0.25">
      <c r="C2" t="s">
        <v>1211</v>
      </c>
    </row>
    <row r="3" spans="3:7" x14ac:dyDescent="0.25">
      <c r="C3" t="s">
        <v>1206</v>
      </c>
    </row>
    <row r="4" spans="3:7" x14ac:dyDescent="0.25">
      <c r="C4" t="s">
        <v>1212</v>
      </c>
    </row>
    <row r="6" spans="3:7" ht="45" x14ac:dyDescent="0.25">
      <c r="D6" s="537" t="s">
        <v>1207</v>
      </c>
      <c r="E6" s="67" t="s">
        <v>1208</v>
      </c>
      <c r="F6" s="67" t="s">
        <v>1208</v>
      </c>
      <c r="G6" s="65"/>
    </row>
    <row r="7" spans="3:7" x14ac:dyDescent="0.25">
      <c r="C7" s="535" t="s">
        <v>1205</v>
      </c>
      <c r="D7" s="135">
        <v>4.8099999999999996</v>
      </c>
      <c r="E7" s="135">
        <v>1.33</v>
      </c>
      <c r="F7" s="135">
        <v>9.7200000000000006</v>
      </c>
    </row>
    <row r="8" spans="3:7" x14ac:dyDescent="0.25">
      <c r="C8" s="535" t="s">
        <v>1204</v>
      </c>
      <c r="D8" s="538">
        <v>140</v>
      </c>
      <c r="E8" s="135">
        <v>28</v>
      </c>
      <c r="F8" s="135">
        <v>408</v>
      </c>
    </row>
    <row r="9" spans="3:7" ht="15.75" thickBot="1" x14ac:dyDescent="0.3">
      <c r="C9" s="535" t="s">
        <v>1209</v>
      </c>
      <c r="D9" s="539">
        <f>D8/D7</f>
        <v>29.106029106029109</v>
      </c>
      <c r="E9" s="539">
        <f>E8/E7</f>
        <v>21.052631578947366</v>
      </c>
      <c r="F9" s="539">
        <f>F8/F7</f>
        <v>41.975308641975303</v>
      </c>
    </row>
    <row r="10" spans="3:7" ht="15.75" thickBot="1" x14ac:dyDescent="0.3">
      <c r="C10" s="536" t="s">
        <v>1210</v>
      </c>
      <c r="D10" s="540">
        <f>(D9+E9+F9)/3</f>
        <v>30.71132310898393</v>
      </c>
      <c r="E10" s="541"/>
      <c r="F10" s="542"/>
    </row>
    <row r="13" spans="3:7" x14ac:dyDescent="0.25">
      <c r="G13" s="34"/>
    </row>
    <row r="14" spans="3:7" x14ac:dyDescent="0.25">
      <c r="F14" s="34"/>
    </row>
  </sheetData>
  <mergeCells count="1">
    <mergeCell ref="D10:F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2798E-CDAC-444C-BDA6-28D114FF91F3}">
  <dimension ref="B1:M105"/>
  <sheetViews>
    <sheetView topLeftCell="A9" zoomScale="80" zoomScaleNormal="80" workbookViewId="0">
      <selection activeCell="M35" sqref="M35"/>
    </sheetView>
  </sheetViews>
  <sheetFormatPr defaultColWidth="8.7109375" defaultRowHeight="15.75" x14ac:dyDescent="0.25"/>
  <cols>
    <col min="1" max="1" width="6.7109375" style="181" customWidth="1"/>
    <col min="2" max="2" width="13" style="181" customWidth="1"/>
    <col min="3" max="3" width="37.28515625" style="181" customWidth="1"/>
    <col min="4" max="4" width="18.7109375" style="181" customWidth="1"/>
    <col min="5" max="5" width="11.7109375" style="181" bestFit="1" customWidth="1"/>
    <col min="6" max="6" width="12.7109375" style="181" customWidth="1"/>
    <col min="7" max="7" width="15.7109375" style="181" customWidth="1"/>
    <col min="8" max="8" width="13.7109375" style="181" customWidth="1"/>
    <col min="9" max="9" width="19.28515625" style="181" customWidth="1"/>
    <col min="10" max="10" width="13.7109375" style="181" customWidth="1"/>
    <col min="11" max="11" width="9.28515625" style="181" bestFit="1" customWidth="1"/>
    <col min="12" max="12" width="12.7109375" style="181" customWidth="1"/>
    <col min="13" max="13" width="12.28515625" style="181" customWidth="1"/>
    <col min="14" max="16384" width="8.7109375" style="181"/>
  </cols>
  <sheetData>
    <row r="1" spans="2:11" ht="23.65" customHeight="1" thickBot="1" x14ac:dyDescent="0.3">
      <c r="D1" s="199"/>
    </row>
    <row r="2" spans="2:11" s="202" customFormat="1" ht="22.15" customHeight="1" thickBot="1" x14ac:dyDescent="0.3">
      <c r="B2" s="200" t="s">
        <v>205</v>
      </c>
      <c r="C2" s="586" t="s">
        <v>229</v>
      </c>
      <c r="D2" s="586"/>
      <c r="E2" s="586"/>
      <c r="F2" s="586"/>
      <c r="G2" s="586"/>
    </row>
    <row r="3" spans="2:11" s="202" customFormat="1" ht="22.15" customHeight="1" thickBot="1" x14ac:dyDescent="0.3">
      <c r="B3" s="201">
        <v>1281.0999999999999</v>
      </c>
      <c r="C3" s="238" t="s">
        <v>234</v>
      </c>
      <c r="D3" s="237"/>
    </row>
    <row r="4" spans="2:11" s="202" customFormat="1" ht="22.15" customHeight="1" x14ac:dyDescent="0.25"/>
    <row r="5" spans="2:11" s="202" customFormat="1" ht="33.6" customHeight="1" x14ac:dyDescent="0.25">
      <c r="B5" s="208"/>
      <c r="C5" s="239" t="s">
        <v>216</v>
      </c>
      <c r="D5" s="226"/>
      <c r="E5" s="206" t="s">
        <v>132</v>
      </c>
      <c r="F5" s="206" t="s">
        <v>133</v>
      </c>
      <c r="G5" s="227" t="s">
        <v>236</v>
      </c>
      <c r="H5" s="230" t="s">
        <v>213</v>
      </c>
      <c r="I5" s="229" t="s">
        <v>230</v>
      </c>
      <c r="J5" s="229"/>
      <c r="K5" s="181"/>
    </row>
    <row r="6" spans="2:11" s="202" customFormat="1" x14ac:dyDescent="0.25">
      <c r="B6" s="206">
        <v>2221</v>
      </c>
      <c r="C6" s="232" t="s">
        <v>221</v>
      </c>
      <c r="D6" s="206">
        <v>14506.94</v>
      </c>
      <c r="E6" s="225">
        <f>D6/12</f>
        <v>1208.9116666666666</v>
      </c>
      <c r="F6" s="225">
        <f>E6/21</f>
        <v>57.56722222222222</v>
      </c>
      <c r="G6" s="204">
        <f>F6/8</f>
        <v>7.1959027777777775</v>
      </c>
      <c r="H6" s="231">
        <f t="shared" ref="H6:H14" si="0">G6/1281.1</f>
        <v>5.6169719598608836E-3</v>
      </c>
      <c r="I6" s="247">
        <f t="shared" ref="I6:I14" si="1">H6*75.1</f>
        <v>0.4218345941855523</v>
      </c>
      <c r="J6" s="247"/>
      <c r="K6" s="235" t="s">
        <v>238</v>
      </c>
    </row>
    <row r="7" spans="2:11" s="202" customFormat="1" x14ac:dyDescent="0.25">
      <c r="B7" s="206">
        <v>2223</v>
      </c>
      <c r="C7" s="232" t="s">
        <v>41</v>
      </c>
      <c r="D7" s="206">
        <v>5221.63</v>
      </c>
      <c r="E7" s="225">
        <f t="shared" ref="E7:E14" si="2">D7/12</f>
        <v>435.13583333333332</v>
      </c>
      <c r="F7" s="225">
        <f t="shared" ref="F7:F14" si="3">E7/21</f>
        <v>20.720753968253966</v>
      </c>
      <c r="G7" s="204">
        <f t="shared" ref="G7:G14" si="4">F7/8</f>
        <v>2.5900942460317458</v>
      </c>
      <c r="H7" s="231">
        <f t="shared" si="0"/>
        <v>2.0217736679663928E-3</v>
      </c>
      <c r="I7" s="247">
        <f t="shared" si="1"/>
        <v>0.15183520246427609</v>
      </c>
      <c r="J7" s="247"/>
      <c r="K7" s="235" t="s">
        <v>238</v>
      </c>
    </row>
    <row r="8" spans="2:11" s="202" customFormat="1" x14ac:dyDescent="0.25">
      <c r="B8" s="206">
        <v>2224</v>
      </c>
      <c r="C8" s="232" t="s">
        <v>42</v>
      </c>
      <c r="D8" s="206">
        <v>1516.4349999999999</v>
      </c>
      <c r="E8" s="225">
        <f t="shared" si="2"/>
        <v>126.36958333333332</v>
      </c>
      <c r="F8" s="225">
        <f t="shared" si="3"/>
        <v>6.0175992063492059</v>
      </c>
      <c r="G8" s="204">
        <f t="shared" si="4"/>
        <v>0.75219990079365073</v>
      </c>
      <c r="H8" s="231">
        <f t="shared" si="0"/>
        <v>5.8715158909815844E-4</v>
      </c>
      <c r="I8" s="247">
        <f t="shared" si="1"/>
        <v>4.4095084341271698E-2</v>
      </c>
      <c r="J8" s="247"/>
      <c r="K8" s="235" t="s">
        <v>238</v>
      </c>
    </row>
    <row r="9" spans="2:11" s="202" customFormat="1" x14ac:dyDescent="0.25">
      <c r="B9" s="206">
        <v>2222</v>
      </c>
      <c r="C9" s="232" t="s">
        <v>44</v>
      </c>
      <c r="D9" s="206">
        <v>1068.55</v>
      </c>
      <c r="E9" s="225">
        <f t="shared" si="2"/>
        <v>89.045833333333334</v>
      </c>
      <c r="F9" s="225">
        <f t="shared" si="3"/>
        <v>4.240277777777778</v>
      </c>
      <c r="G9" s="204">
        <f t="shared" si="4"/>
        <v>0.53003472222222225</v>
      </c>
      <c r="H9" s="231">
        <f t="shared" si="0"/>
        <v>4.1373407401625343E-4</v>
      </c>
      <c r="I9" s="247">
        <f t="shared" si="1"/>
        <v>3.1071428958620629E-2</v>
      </c>
      <c r="J9" s="247"/>
      <c r="K9" s="235" t="s">
        <v>238</v>
      </c>
    </row>
    <row r="10" spans="2:11" s="202" customFormat="1" x14ac:dyDescent="0.25">
      <c r="B10" s="206">
        <v>2244</v>
      </c>
      <c r="C10" s="232" t="s">
        <v>45</v>
      </c>
      <c r="D10" s="206">
        <f>3417+6294.56</f>
        <v>9711.5600000000013</v>
      </c>
      <c r="E10" s="225">
        <f t="shared" si="2"/>
        <v>809.29666666666674</v>
      </c>
      <c r="F10" s="225">
        <f t="shared" si="3"/>
        <v>38.537936507936514</v>
      </c>
      <c r="G10" s="204">
        <f t="shared" si="4"/>
        <v>4.8172420634920643</v>
      </c>
      <c r="H10" s="231">
        <f t="shared" si="0"/>
        <v>3.7602389067926505E-3</v>
      </c>
      <c r="I10" s="247">
        <f t="shared" si="1"/>
        <v>0.28239394190012801</v>
      </c>
      <c r="J10" s="247"/>
      <c r="K10" s="235" t="s">
        <v>238</v>
      </c>
    </row>
    <row r="11" spans="2:11" s="202" customFormat="1" x14ac:dyDescent="0.25">
      <c r="B11" s="206">
        <v>2244</v>
      </c>
      <c r="C11" s="232" t="s">
        <v>46</v>
      </c>
      <c r="D11" s="206">
        <v>529.98</v>
      </c>
      <c r="E11" s="225">
        <f t="shared" si="2"/>
        <v>44.164999999999999</v>
      </c>
      <c r="F11" s="225">
        <f t="shared" si="3"/>
        <v>2.1030952380952379</v>
      </c>
      <c r="G11" s="204">
        <f t="shared" si="4"/>
        <v>0.26288690476190474</v>
      </c>
      <c r="H11" s="231">
        <f t="shared" si="0"/>
        <v>2.0520404711724672E-4</v>
      </c>
      <c r="I11" s="247">
        <f t="shared" si="1"/>
        <v>1.5410823938505227E-2</v>
      </c>
      <c r="J11" s="247"/>
      <c r="K11" s="235" t="s">
        <v>238</v>
      </c>
    </row>
    <row r="12" spans="2:11" s="202" customFormat="1" x14ac:dyDescent="0.25">
      <c r="B12" s="206">
        <v>2244</v>
      </c>
      <c r="C12" s="232" t="s">
        <v>211</v>
      </c>
      <c r="D12" s="233">
        <v>5273.01</v>
      </c>
      <c r="E12" s="225">
        <f>D12/12</f>
        <v>439.41750000000002</v>
      </c>
      <c r="F12" s="225">
        <f>E12/21</f>
        <v>20.924642857142857</v>
      </c>
      <c r="G12" s="204">
        <f>F12/8</f>
        <v>2.6155803571428571</v>
      </c>
      <c r="H12" s="231">
        <f t="shared" si="0"/>
        <v>2.0416675959276068E-3</v>
      </c>
      <c r="I12" s="248">
        <f t="shared" si="1"/>
        <v>0.15332923645416327</v>
      </c>
      <c r="J12" s="248"/>
      <c r="K12" s="234" t="s">
        <v>237</v>
      </c>
    </row>
    <row r="13" spans="2:11" s="202" customFormat="1" x14ac:dyDescent="0.25">
      <c r="B13" s="206">
        <v>2350</v>
      </c>
      <c r="C13" s="232" t="s">
        <v>47</v>
      </c>
      <c r="D13" s="233">
        <v>2500</v>
      </c>
      <c r="E13" s="225">
        <f t="shared" si="2"/>
        <v>208.33333333333334</v>
      </c>
      <c r="F13" s="225">
        <f t="shared" si="3"/>
        <v>9.9206349206349209</v>
      </c>
      <c r="G13" s="204">
        <f t="shared" si="4"/>
        <v>1.2400793650793651</v>
      </c>
      <c r="H13" s="231">
        <f t="shared" si="0"/>
        <v>9.6798014603025929E-4</v>
      </c>
      <c r="I13" s="248">
        <f t="shared" si="1"/>
        <v>7.2695308966872471E-2</v>
      </c>
      <c r="J13" s="248"/>
      <c r="K13" s="234" t="s">
        <v>237</v>
      </c>
    </row>
    <row r="14" spans="2:11" s="202" customFormat="1" x14ac:dyDescent="0.25">
      <c r="B14" s="206">
        <v>5000</v>
      </c>
      <c r="C14" s="240" t="s">
        <v>21</v>
      </c>
      <c r="D14" s="206">
        <v>23241.599999999999</v>
      </c>
      <c r="E14" s="225">
        <f t="shared" si="2"/>
        <v>1936.8</v>
      </c>
      <c r="F14" s="225">
        <f t="shared" si="3"/>
        <v>92.228571428571428</v>
      </c>
      <c r="G14" s="204">
        <f t="shared" si="4"/>
        <v>11.528571428571428</v>
      </c>
      <c r="H14" s="231">
        <f t="shared" si="0"/>
        <v>8.9989629447907501E-3</v>
      </c>
      <c r="I14" s="248">
        <f t="shared" si="1"/>
        <v>0.67582211715378526</v>
      </c>
      <c r="J14" s="248"/>
      <c r="K14" s="234" t="s">
        <v>237</v>
      </c>
    </row>
    <row r="15" spans="2:11" s="202" customFormat="1" x14ac:dyDescent="0.25">
      <c r="B15" s="206"/>
      <c r="C15" s="239" t="s">
        <v>23</v>
      </c>
      <c r="D15" s="236">
        <f>SUM(D6:D14)</f>
        <v>63569.705000000002</v>
      </c>
      <c r="E15" s="236">
        <f>SUM(E6:E14)</f>
        <v>5297.4754166666671</v>
      </c>
      <c r="F15" s="236">
        <f>SUM(F6:F14)</f>
        <v>252.26073412698412</v>
      </c>
      <c r="G15" s="226">
        <f>SUM(G6:G14)</f>
        <v>31.532591765873015</v>
      </c>
      <c r="H15" s="228"/>
      <c r="I15" s="181"/>
      <c r="J15" s="181"/>
      <c r="K15" s="181"/>
    </row>
    <row r="16" spans="2:11" s="202" customFormat="1" ht="22.15" customHeight="1" x14ac:dyDescent="0.25"/>
    <row r="17" spans="2:13" x14ac:dyDescent="0.25">
      <c r="B17" s="244" t="s">
        <v>247</v>
      </c>
      <c r="D17" s="268" t="s">
        <v>230</v>
      </c>
    </row>
    <row r="18" spans="2:13" ht="45" customHeight="1" x14ac:dyDescent="0.25">
      <c r="F18" s="260" t="s">
        <v>148</v>
      </c>
      <c r="G18" s="260" t="s">
        <v>250</v>
      </c>
      <c r="H18" s="261" t="s">
        <v>251</v>
      </c>
      <c r="I18" s="261" t="s">
        <v>252</v>
      </c>
      <c r="J18" s="260" t="s">
        <v>13</v>
      </c>
    </row>
    <row r="19" spans="2:13" x14ac:dyDescent="0.25">
      <c r="B19" s="263">
        <v>1100</v>
      </c>
      <c r="C19" s="210" t="s">
        <v>259</v>
      </c>
      <c r="D19" s="243" t="s">
        <v>228</v>
      </c>
      <c r="E19" s="264" t="s">
        <v>253</v>
      </c>
      <c r="F19" s="265">
        <v>1851</v>
      </c>
      <c r="G19" s="266">
        <f t="shared" ref="G19:G24" si="5">F19/21/8</f>
        <v>11.017857142857142</v>
      </c>
      <c r="H19" s="267">
        <f t="shared" ref="H19:H24" si="6">G19/60</f>
        <v>0.18363095238095237</v>
      </c>
      <c r="I19" s="259">
        <v>25.2</v>
      </c>
      <c r="J19" s="246">
        <f t="shared" ref="J19:J24" si="7">I19*H19</f>
        <v>4.6274999999999995</v>
      </c>
      <c r="K19" s="262" t="s">
        <v>238</v>
      </c>
      <c r="L19" s="270">
        <f>SUM(J19:J23)</f>
        <v>17.89654761904762</v>
      </c>
      <c r="M19" s="181" t="s">
        <v>262</v>
      </c>
    </row>
    <row r="20" spans="2:13" x14ac:dyDescent="0.25">
      <c r="B20" s="263">
        <v>1100</v>
      </c>
      <c r="C20" s="210" t="s">
        <v>261</v>
      </c>
      <c r="D20" s="243" t="s">
        <v>228</v>
      </c>
      <c r="E20" s="264" t="s">
        <v>253</v>
      </c>
      <c r="F20" s="265">
        <v>1851</v>
      </c>
      <c r="G20" s="266">
        <f t="shared" si="5"/>
        <v>11.017857142857142</v>
      </c>
      <c r="H20" s="267">
        <f t="shared" si="6"/>
        <v>0.18363095238095237</v>
      </c>
      <c r="I20" s="259">
        <v>12</v>
      </c>
      <c r="J20" s="246">
        <f t="shared" si="7"/>
        <v>2.2035714285714283</v>
      </c>
      <c r="K20" s="262" t="s">
        <v>238</v>
      </c>
    </row>
    <row r="21" spans="2:13" x14ac:dyDescent="0.25">
      <c r="B21" s="263">
        <v>1100</v>
      </c>
      <c r="C21" s="210" t="s">
        <v>260</v>
      </c>
      <c r="D21" s="243" t="s">
        <v>228</v>
      </c>
      <c r="E21" s="264" t="s">
        <v>253</v>
      </c>
      <c r="F21" s="265">
        <v>1851</v>
      </c>
      <c r="G21" s="266">
        <f t="shared" si="5"/>
        <v>11.017857142857142</v>
      </c>
      <c r="H21" s="267">
        <f t="shared" si="6"/>
        <v>0.18363095238095237</v>
      </c>
      <c r="I21" s="259">
        <v>10</v>
      </c>
      <c r="J21" s="246">
        <f t="shared" si="7"/>
        <v>1.8363095238095237</v>
      </c>
      <c r="K21" s="262" t="s">
        <v>238</v>
      </c>
    </row>
    <row r="22" spans="2:13" x14ac:dyDescent="0.25">
      <c r="B22" s="263">
        <v>1100</v>
      </c>
      <c r="C22" s="210" t="s">
        <v>258</v>
      </c>
      <c r="D22" s="243" t="s">
        <v>228</v>
      </c>
      <c r="E22" s="264" t="s">
        <v>253</v>
      </c>
      <c r="F22" s="265">
        <v>1851</v>
      </c>
      <c r="G22" s="266">
        <f t="shared" si="5"/>
        <v>11.017857142857142</v>
      </c>
      <c r="H22" s="267">
        <f t="shared" si="6"/>
        <v>0.18363095238095237</v>
      </c>
      <c r="I22" s="259">
        <v>30</v>
      </c>
      <c r="J22" s="246">
        <f t="shared" si="7"/>
        <v>5.5089285714285712</v>
      </c>
      <c r="K22" s="262" t="s">
        <v>238</v>
      </c>
    </row>
    <row r="23" spans="2:13" x14ac:dyDescent="0.25">
      <c r="B23" s="263">
        <v>1100</v>
      </c>
      <c r="C23" s="263" t="s">
        <v>255</v>
      </c>
      <c r="D23" s="264" t="s">
        <v>256</v>
      </c>
      <c r="E23" s="264" t="s">
        <v>257</v>
      </c>
      <c r="F23" s="265">
        <v>1250</v>
      </c>
      <c r="G23" s="266">
        <f t="shared" si="5"/>
        <v>7.4404761904761907</v>
      </c>
      <c r="H23" s="267">
        <f t="shared" si="6"/>
        <v>0.12400793650793651</v>
      </c>
      <c r="I23" s="259">
        <v>30</v>
      </c>
      <c r="J23" s="246">
        <f t="shared" si="7"/>
        <v>3.7202380952380953</v>
      </c>
      <c r="K23" s="262" t="s">
        <v>238</v>
      </c>
    </row>
    <row r="24" spans="2:13" x14ac:dyDescent="0.25">
      <c r="B24" s="263">
        <v>1100</v>
      </c>
      <c r="C24" s="263" t="s">
        <v>249</v>
      </c>
      <c r="D24" s="243" t="s">
        <v>212</v>
      </c>
      <c r="E24" s="264" t="s">
        <v>248</v>
      </c>
      <c r="F24" s="265">
        <v>1340</v>
      </c>
      <c r="G24" s="266">
        <f t="shared" si="5"/>
        <v>7.9761904761904763</v>
      </c>
      <c r="H24" s="267">
        <f t="shared" si="6"/>
        <v>0.13293650793650794</v>
      </c>
      <c r="I24" s="259">
        <v>5</v>
      </c>
      <c r="J24" s="246">
        <f t="shared" si="7"/>
        <v>0.66468253968253965</v>
      </c>
      <c r="K24" s="234" t="s">
        <v>237</v>
      </c>
    </row>
    <row r="25" spans="2:13" x14ac:dyDescent="0.25">
      <c r="B25" s="249"/>
      <c r="C25" s="250"/>
      <c r="D25" s="251"/>
      <c r="E25" s="252"/>
      <c r="F25" s="253"/>
      <c r="G25" s="254"/>
      <c r="H25" s="255"/>
      <c r="I25" s="256"/>
      <c r="J25" s="257"/>
      <c r="K25" s="258"/>
    </row>
    <row r="26" spans="2:13" x14ac:dyDescent="0.25">
      <c r="E26" s="209"/>
    </row>
    <row r="27" spans="2:13" s="271" customFormat="1" x14ac:dyDescent="0.25">
      <c r="J27" s="272"/>
    </row>
    <row r="28" spans="2:13" ht="52.5" x14ac:dyDescent="0.25">
      <c r="D28" s="241" t="s">
        <v>239</v>
      </c>
      <c r="E28" s="241" t="s">
        <v>240</v>
      </c>
      <c r="F28" s="241" t="s">
        <v>241</v>
      </c>
      <c r="G28" s="241" t="s">
        <v>242</v>
      </c>
      <c r="H28" s="241" t="s">
        <v>243</v>
      </c>
      <c r="I28" s="241" t="s">
        <v>244</v>
      </c>
      <c r="J28" s="242" t="s">
        <v>245</v>
      </c>
      <c r="K28" s="241" t="s">
        <v>246</v>
      </c>
      <c r="L28" s="241" t="s">
        <v>48</v>
      </c>
    </row>
    <row r="29" spans="2:13" ht="33.75" x14ac:dyDescent="0.25">
      <c r="B29" s="206">
        <v>2244</v>
      </c>
      <c r="C29" s="232" t="s">
        <v>211</v>
      </c>
      <c r="D29" s="193" t="s">
        <v>231</v>
      </c>
      <c r="E29" s="194" t="s">
        <v>232</v>
      </c>
      <c r="F29" s="195">
        <v>1281.0999999999999</v>
      </c>
      <c r="G29" s="195" t="s">
        <v>218</v>
      </c>
      <c r="H29" s="195" t="s">
        <v>233</v>
      </c>
      <c r="I29" s="196">
        <v>1400</v>
      </c>
      <c r="J29" s="197">
        <f t="shared" ref="J29" si="8">F29*I29</f>
        <v>1793539.9999999998</v>
      </c>
      <c r="K29" s="193" t="s">
        <v>220</v>
      </c>
      <c r="L29" s="198" t="s">
        <v>217</v>
      </c>
    </row>
    <row r="35" spans="2:10" x14ac:dyDescent="0.25">
      <c r="B35" s="180"/>
      <c r="C35" s="180"/>
      <c r="D35" s="212"/>
      <c r="E35" s="180"/>
      <c r="F35" s="180"/>
      <c r="G35" s="213"/>
      <c r="H35" s="180"/>
      <c r="I35" s="214"/>
      <c r="J35" s="180"/>
    </row>
    <row r="36" spans="2:10" x14ac:dyDescent="0.25">
      <c r="B36" s="180"/>
      <c r="C36" s="180"/>
      <c r="D36" s="212"/>
      <c r="E36" s="180"/>
      <c r="F36" s="180"/>
      <c r="G36" s="213"/>
      <c r="H36" s="180"/>
      <c r="I36" s="214"/>
      <c r="J36" s="180"/>
    </row>
    <row r="37" spans="2:10" x14ac:dyDescent="0.25">
      <c r="B37" s="180"/>
      <c r="C37" s="180"/>
      <c r="D37" s="212"/>
      <c r="E37" s="180"/>
      <c r="F37" s="180"/>
      <c r="G37" s="213"/>
      <c r="H37" s="180"/>
      <c r="I37" s="214"/>
      <c r="J37" s="180"/>
    </row>
    <row r="38" spans="2:10" x14ac:dyDescent="0.25">
      <c r="B38" s="180"/>
      <c r="C38" s="180"/>
      <c r="D38" s="212"/>
      <c r="E38" s="180"/>
      <c r="F38" s="180"/>
      <c r="G38" s="213"/>
      <c r="H38" s="180"/>
      <c r="I38" s="214"/>
      <c r="J38" s="180"/>
    </row>
    <row r="39" spans="2:10" x14ac:dyDescent="0.25">
      <c r="B39" s="180"/>
      <c r="C39" s="180"/>
      <c r="D39" s="212"/>
      <c r="E39" s="180"/>
      <c r="F39" s="180"/>
      <c r="G39" s="213"/>
      <c r="H39" s="180"/>
      <c r="I39" s="214"/>
      <c r="J39" s="180"/>
    </row>
    <row r="40" spans="2:10" x14ac:dyDescent="0.25">
      <c r="B40" s="180"/>
      <c r="C40" s="180"/>
      <c r="D40" s="212"/>
      <c r="E40" s="180"/>
      <c r="F40" s="180"/>
      <c r="G40" s="213"/>
      <c r="H40" s="180"/>
      <c r="I40" s="214"/>
      <c r="J40" s="180"/>
    </row>
    <row r="41" spans="2:10" x14ac:dyDescent="0.25">
      <c r="B41" s="180"/>
      <c r="C41" s="180"/>
      <c r="D41" s="212"/>
      <c r="E41" s="180"/>
      <c r="F41" s="180"/>
      <c r="G41" s="213"/>
      <c r="H41" s="180"/>
      <c r="I41" s="214"/>
      <c r="J41" s="180"/>
    </row>
    <row r="42" spans="2:10" x14ac:dyDescent="0.25">
      <c r="B42" s="180"/>
      <c r="C42" s="180"/>
      <c r="D42" s="212"/>
      <c r="E42" s="180"/>
      <c r="F42" s="180"/>
      <c r="G42" s="213"/>
      <c r="H42" s="180"/>
      <c r="I42" s="214"/>
      <c r="J42" s="180"/>
    </row>
    <row r="43" spans="2:10" x14ac:dyDescent="0.25">
      <c r="B43" s="180"/>
      <c r="C43" s="180"/>
      <c r="D43" s="212"/>
      <c r="E43" s="180"/>
      <c r="F43" s="180"/>
      <c r="G43" s="213"/>
      <c r="H43" s="180"/>
      <c r="I43" s="214"/>
      <c r="J43" s="180"/>
    </row>
    <row r="44" spans="2:10" x14ac:dyDescent="0.25">
      <c r="B44" s="180"/>
      <c r="C44" s="180"/>
      <c r="D44" s="212"/>
      <c r="E44" s="180"/>
      <c r="F44" s="180"/>
      <c r="G44" s="213"/>
      <c r="H44" s="180"/>
      <c r="I44" s="214"/>
      <c r="J44" s="180"/>
    </row>
    <row r="45" spans="2:10" x14ac:dyDescent="0.25">
      <c r="B45" s="180"/>
      <c r="C45" s="180"/>
      <c r="D45" s="212"/>
      <c r="E45" s="180"/>
      <c r="F45" s="180"/>
      <c r="G45" s="213"/>
      <c r="H45" s="180"/>
      <c r="I45" s="214"/>
      <c r="J45" s="180"/>
    </row>
    <row r="46" spans="2:10" x14ac:dyDescent="0.25">
      <c r="B46" s="180"/>
      <c r="C46" s="180"/>
      <c r="D46" s="212"/>
      <c r="E46" s="180"/>
      <c r="F46" s="180"/>
      <c r="G46" s="213"/>
      <c r="H46" s="180"/>
      <c r="I46" s="214"/>
      <c r="J46" s="180"/>
    </row>
    <row r="47" spans="2:10" x14ac:dyDescent="0.25">
      <c r="D47" s="215"/>
    </row>
    <row r="49" spans="2:10" x14ac:dyDescent="0.25">
      <c r="B49" s="180"/>
      <c r="C49" s="180"/>
      <c r="D49" s="212"/>
      <c r="E49" s="180"/>
      <c r="F49" s="180"/>
      <c r="G49" s="213"/>
      <c r="H49" s="180"/>
      <c r="I49" s="214"/>
      <c r="J49" s="180"/>
    </row>
    <row r="50" spans="2:10" x14ac:dyDescent="0.25">
      <c r="B50" s="180"/>
      <c r="C50" s="180"/>
      <c r="D50" s="212"/>
      <c r="E50" s="180"/>
      <c r="F50" s="180"/>
      <c r="G50" s="213"/>
      <c r="H50" s="180"/>
      <c r="I50" s="214"/>
      <c r="J50" s="180"/>
    </row>
    <row r="51" spans="2:10" x14ac:dyDescent="0.25">
      <c r="B51" s="180"/>
      <c r="C51" s="180"/>
      <c r="D51" s="212"/>
      <c r="E51" s="180"/>
      <c r="F51" s="180"/>
      <c r="G51" s="213"/>
      <c r="H51" s="180"/>
      <c r="I51" s="214"/>
      <c r="J51" s="180"/>
    </row>
    <row r="52" spans="2:10" x14ac:dyDescent="0.25">
      <c r="B52" s="180"/>
      <c r="C52" s="180"/>
      <c r="D52" s="212"/>
      <c r="E52" s="180"/>
      <c r="F52" s="180"/>
      <c r="G52" s="213"/>
      <c r="H52" s="180"/>
      <c r="I52" s="214"/>
      <c r="J52" s="180"/>
    </row>
    <row r="53" spans="2:10" x14ac:dyDescent="0.25">
      <c r="B53" s="180"/>
      <c r="C53" s="180"/>
      <c r="D53" s="212"/>
      <c r="E53" s="180"/>
      <c r="F53" s="180"/>
      <c r="G53" s="213"/>
      <c r="H53" s="180"/>
      <c r="I53" s="214"/>
      <c r="J53" s="180"/>
    </row>
    <row r="54" spans="2:10" x14ac:dyDescent="0.25">
      <c r="B54" s="180"/>
      <c r="C54" s="180"/>
      <c r="D54" s="212"/>
      <c r="E54" s="180"/>
      <c r="F54" s="180"/>
      <c r="G54" s="213"/>
      <c r="H54" s="180"/>
      <c r="I54" s="214"/>
      <c r="J54" s="180"/>
    </row>
    <row r="55" spans="2:10" x14ac:dyDescent="0.25">
      <c r="B55" s="180"/>
      <c r="C55" s="180"/>
      <c r="D55" s="212"/>
      <c r="E55" s="180"/>
      <c r="F55" s="180"/>
      <c r="G55" s="213"/>
      <c r="H55" s="180"/>
      <c r="I55" s="214"/>
      <c r="J55" s="180"/>
    </row>
    <row r="56" spans="2:10" x14ac:dyDescent="0.25">
      <c r="B56" s="180"/>
      <c r="C56" s="180"/>
      <c r="D56" s="212"/>
      <c r="E56" s="180"/>
      <c r="F56" s="180"/>
      <c r="G56" s="213"/>
      <c r="H56" s="180"/>
      <c r="I56" s="214"/>
      <c r="J56" s="180"/>
    </row>
    <row r="57" spans="2:10" x14ac:dyDescent="0.25">
      <c r="B57" s="180"/>
      <c r="C57" s="180"/>
      <c r="D57" s="212"/>
      <c r="E57" s="180"/>
      <c r="F57" s="180"/>
      <c r="G57" s="213"/>
      <c r="H57" s="180"/>
      <c r="I57" s="214"/>
      <c r="J57" s="180"/>
    </row>
    <row r="58" spans="2:10" x14ac:dyDescent="0.25">
      <c r="B58" s="180"/>
      <c r="C58" s="180"/>
      <c r="D58" s="212"/>
      <c r="E58" s="180"/>
      <c r="F58" s="180"/>
      <c r="G58" s="213"/>
      <c r="H58" s="180"/>
      <c r="I58" s="214"/>
      <c r="J58" s="180"/>
    </row>
    <row r="59" spans="2:10" x14ac:dyDescent="0.25">
      <c r="B59" s="180"/>
      <c r="C59" s="180"/>
      <c r="D59" s="212"/>
      <c r="E59" s="180"/>
      <c r="F59" s="180"/>
      <c r="G59" s="213"/>
      <c r="H59" s="180"/>
      <c r="I59" s="214"/>
      <c r="J59" s="180"/>
    </row>
    <row r="62" spans="2:10" x14ac:dyDescent="0.25">
      <c r="B62" s="180"/>
      <c r="C62" s="180"/>
      <c r="D62" s="212"/>
      <c r="E62" s="180"/>
      <c r="F62" s="180"/>
      <c r="G62" s="213"/>
      <c r="H62" s="180"/>
      <c r="I62" s="214"/>
      <c r="J62" s="180"/>
    </row>
    <row r="63" spans="2:10" x14ac:dyDescent="0.25">
      <c r="B63" s="180"/>
      <c r="C63" s="180"/>
      <c r="D63" s="212"/>
      <c r="E63" s="180"/>
      <c r="F63" s="180"/>
      <c r="G63" s="213"/>
      <c r="H63" s="180"/>
      <c r="I63" s="214"/>
      <c r="J63" s="180"/>
    </row>
    <row r="64" spans="2:10" x14ac:dyDescent="0.25">
      <c r="B64" s="180"/>
      <c r="C64" s="180"/>
      <c r="D64" s="212"/>
      <c r="E64" s="180"/>
      <c r="F64" s="180"/>
      <c r="G64" s="213"/>
      <c r="H64" s="180"/>
      <c r="I64" s="214"/>
      <c r="J64" s="180"/>
    </row>
    <row r="65" spans="2:10" x14ac:dyDescent="0.25">
      <c r="B65" s="180"/>
      <c r="C65" s="180"/>
      <c r="D65" s="212"/>
      <c r="E65" s="180"/>
      <c r="F65" s="180"/>
      <c r="G65" s="213"/>
      <c r="H65" s="180"/>
      <c r="I65" s="214"/>
      <c r="J65" s="180"/>
    </row>
    <row r="66" spans="2:10" x14ac:dyDescent="0.25">
      <c r="B66" s="180"/>
      <c r="C66" s="180"/>
      <c r="D66" s="212"/>
      <c r="E66" s="180"/>
      <c r="F66" s="180"/>
      <c r="G66" s="213"/>
      <c r="H66" s="180"/>
      <c r="I66" s="214"/>
      <c r="J66" s="180"/>
    </row>
    <row r="67" spans="2:10" x14ac:dyDescent="0.25">
      <c r="B67" s="180"/>
      <c r="C67" s="180"/>
      <c r="D67" s="212"/>
      <c r="E67" s="180"/>
      <c r="F67" s="180"/>
      <c r="G67" s="213"/>
      <c r="H67" s="180"/>
      <c r="I67" s="214"/>
      <c r="J67" s="180"/>
    </row>
    <row r="68" spans="2:10" x14ac:dyDescent="0.25">
      <c r="B68" s="180"/>
      <c r="C68" s="180"/>
      <c r="D68" s="212"/>
      <c r="E68" s="180"/>
      <c r="F68" s="180"/>
      <c r="G68" s="213"/>
      <c r="H68" s="180"/>
      <c r="I68" s="214"/>
      <c r="J68" s="180"/>
    </row>
    <row r="69" spans="2:10" x14ac:dyDescent="0.25">
      <c r="B69" s="180"/>
      <c r="C69" s="180"/>
      <c r="D69" s="212"/>
      <c r="E69" s="180"/>
      <c r="F69" s="180"/>
      <c r="G69" s="213"/>
      <c r="H69" s="180"/>
      <c r="I69" s="214"/>
      <c r="J69" s="180"/>
    </row>
    <row r="70" spans="2:10" x14ac:dyDescent="0.25">
      <c r="B70" s="180"/>
      <c r="C70" s="180"/>
      <c r="D70" s="212"/>
      <c r="E70" s="180"/>
      <c r="F70" s="180"/>
      <c r="G70" s="213"/>
      <c r="H70" s="180"/>
      <c r="I70" s="214"/>
      <c r="J70" s="180"/>
    </row>
    <row r="71" spans="2:10" x14ac:dyDescent="0.25">
      <c r="B71" s="180"/>
      <c r="C71" s="180"/>
      <c r="D71" s="212"/>
      <c r="E71" s="180"/>
      <c r="F71" s="180"/>
      <c r="G71" s="213"/>
      <c r="H71" s="180"/>
      <c r="I71" s="214"/>
      <c r="J71" s="180"/>
    </row>
    <row r="72" spans="2:10" x14ac:dyDescent="0.25">
      <c r="B72" s="180"/>
      <c r="C72" s="180"/>
      <c r="D72" s="212"/>
      <c r="E72" s="180"/>
      <c r="F72" s="180"/>
      <c r="G72" s="213"/>
      <c r="H72" s="180"/>
      <c r="I72" s="214"/>
      <c r="J72" s="180"/>
    </row>
    <row r="73" spans="2:10" x14ac:dyDescent="0.25">
      <c r="B73" s="180"/>
      <c r="C73" s="180"/>
      <c r="D73" s="212"/>
      <c r="E73" s="180"/>
      <c r="F73" s="180"/>
      <c r="G73" s="213"/>
      <c r="H73" s="180"/>
      <c r="I73" s="214"/>
      <c r="J73" s="180"/>
    </row>
    <row r="74" spans="2:10" x14ac:dyDescent="0.25">
      <c r="D74" s="215"/>
    </row>
    <row r="76" spans="2:10" x14ac:dyDescent="0.25">
      <c r="B76" s="180"/>
      <c r="C76" s="180"/>
      <c r="D76" s="212"/>
      <c r="E76" s="180"/>
      <c r="F76" s="180"/>
      <c r="G76" s="213"/>
      <c r="H76" s="180"/>
      <c r="I76" s="214"/>
      <c r="J76" s="180"/>
    </row>
    <row r="77" spans="2:10" x14ac:dyDescent="0.25">
      <c r="B77" s="180"/>
      <c r="C77" s="180"/>
      <c r="D77" s="212"/>
      <c r="E77" s="180"/>
      <c r="F77" s="180"/>
      <c r="G77" s="213"/>
      <c r="H77" s="180"/>
      <c r="J77" s="180"/>
    </row>
    <row r="78" spans="2:10" x14ac:dyDescent="0.25">
      <c r="B78" s="180"/>
      <c r="C78" s="180"/>
      <c r="D78" s="212"/>
      <c r="E78" s="180"/>
      <c r="F78" s="180"/>
      <c r="G78" s="213"/>
      <c r="H78" s="180"/>
      <c r="J78" s="180"/>
    </row>
    <row r="79" spans="2:10" x14ac:dyDescent="0.25">
      <c r="B79" s="180"/>
      <c r="C79" s="180"/>
      <c r="D79" s="216"/>
      <c r="E79" s="180"/>
      <c r="F79" s="180"/>
      <c r="G79" s="213"/>
      <c r="H79" s="180"/>
      <c r="J79" s="180"/>
    </row>
    <row r="80" spans="2:10" x14ac:dyDescent="0.25">
      <c r="B80" s="180"/>
      <c r="C80" s="180"/>
      <c r="D80" s="212"/>
      <c r="E80" s="180"/>
      <c r="F80" s="180"/>
      <c r="G80" s="213"/>
      <c r="H80" s="180"/>
      <c r="J80" s="180"/>
    </row>
    <row r="81" spans="2:10" x14ac:dyDescent="0.25">
      <c r="B81" s="180"/>
      <c r="C81" s="180"/>
      <c r="D81" s="212"/>
      <c r="E81" s="180"/>
      <c r="F81" s="180"/>
      <c r="G81" s="213"/>
      <c r="H81" s="180"/>
      <c r="J81" s="180"/>
    </row>
    <row r="82" spans="2:10" x14ac:dyDescent="0.25">
      <c r="B82" s="180"/>
      <c r="C82" s="180"/>
      <c r="D82" s="212"/>
      <c r="E82" s="180"/>
      <c r="F82" s="180"/>
      <c r="G82" s="213"/>
      <c r="H82" s="180"/>
      <c r="J82" s="180"/>
    </row>
    <row r="83" spans="2:10" x14ac:dyDescent="0.25">
      <c r="B83" s="180"/>
      <c r="C83" s="180"/>
      <c r="D83" s="212"/>
      <c r="E83" s="180"/>
      <c r="F83" s="217"/>
      <c r="G83" s="213"/>
      <c r="H83" s="180"/>
      <c r="J83" s="180"/>
    </row>
    <row r="84" spans="2:10" x14ac:dyDescent="0.25">
      <c r="B84" s="180"/>
      <c r="C84" s="180"/>
      <c r="D84" s="212"/>
      <c r="E84" s="180"/>
      <c r="F84" s="180"/>
      <c r="G84" s="213"/>
      <c r="H84" s="180"/>
      <c r="J84" s="180"/>
    </row>
    <row r="85" spans="2:10" x14ac:dyDescent="0.25">
      <c r="B85" s="180"/>
      <c r="C85" s="180"/>
      <c r="D85" s="212"/>
      <c r="E85" s="180"/>
      <c r="F85" s="180"/>
      <c r="G85" s="213"/>
      <c r="H85" s="180"/>
      <c r="J85" s="180"/>
    </row>
    <row r="86" spans="2:10" x14ac:dyDescent="0.25">
      <c r="D86" s="215"/>
    </row>
    <row r="87" spans="2:10" x14ac:dyDescent="0.25">
      <c r="D87" s="218"/>
    </row>
    <row r="88" spans="2:10" x14ac:dyDescent="0.25">
      <c r="B88" s="180"/>
      <c r="C88" s="180"/>
      <c r="D88" s="219"/>
      <c r="E88" s="180"/>
      <c r="F88" s="180"/>
      <c r="G88" s="213"/>
      <c r="H88" s="180"/>
      <c r="I88" s="214"/>
      <c r="J88" s="180"/>
    </row>
    <row r="89" spans="2:10" x14ac:dyDescent="0.25">
      <c r="B89" s="180"/>
      <c r="C89" s="180"/>
      <c r="D89" s="219"/>
      <c r="E89" s="180"/>
      <c r="F89" s="180"/>
      <c r="G89" s="213"/>
      <c r="H89" s="180"/>
      <c r="I89" s="214"/>
      <c r="J89" s="180"/>
    </row>
    <row r="90" spans="2:10" x14ac:dyDescent="0.25">
      <c r="B90" s="180"/>
      <c r="C90" s="180"/>
      <c r="D90" s="219"/>
      <c r="E90" s="180"/>
      <c r="F90" s="180"/>
      <c r="G90" s="213"/>
      <c r="H90" s="180"/>
      <c r="I90" s="214"/>
      <c r="J90" s="180"/>
    </row>
    <row r="91" spans="2:10" x14ac:dyDescent="0.25">
      <c r="B91" s="180"/>
      <c r="C91" s="180"/>
      <c r="D91" s="219"/>
      <c r="E91" s="180"/>
      <c r="F91" s="180"/>
      <c r="G91" s="213"/>
      <c r="H91" s="180"/>
      <c r="I91" s="214"/>
      <c r="J91" s="180"/>
    </row>
    <row r="92" spans="2:10" x14ac:dyDescent="0.25">
      <c r="B92" s="180"/>
      <c r="C92" s="180"/>
      <c r="D92" s="219"/>
      <c r="E92" s="180"/>
      <c r="F92" s="180"/>
      <c r="G92" s="213"/>
      <c r="H92" s="180"/>
      <c r="I92" s="214"/>
      <c r="J92" s="180"/>
    </row>
    <row r="93" spans="2:10" x14ac:dyDescent="0.25">
      <c r="B93" s="180"/>
      <c r="C93" s="180"/>
      <c r="D93" s="219"/>
      <c r="E93" s="180"/>
      <c r="F93" s="180"/>
      <c r="G93" s="213"/>
      <c r="H93" s="180"/>
      <c r="I93" s="214"/>
      <c r="J93" s="180"/>
    </row>
    <row r="94" spans="2:10" x14ac:dyDescent="0.25">
      <c r="B94" s="180"/>
      <c r="C94" s="180"/>
      <c r="D94" s="219"/>
      <c r="E94" s="180"/>
      <c r="F94" s="180"/>
      <c r="G94" s="213"/>
      <c r="H94" s="180"/>
      <c r="I94" s="214"/>
      <c r="J94" s="180"/>
    </row>
    <row r="95" spans="2:10" x14ac:dyDescent="0.25">
      <c r="B95" s="180"/>
      <c r="C95" s="180"/>
      <c r="D95" s="219"/>
      <c r="E95" s="180"/>
      <c r="F95" s="180"/>
      <c r="G95" s="213"/>
      <c r="H95" s="180"/>
      <c r="I95" s="214"/>
      <c r="J95" s="180"/>
    </row>
    <row r="96" spans="2:10" x14ac:dyDescent="0.25">
      <c r="B96" s="180"/>
      <c r="C96" s="180"/>
      <c r="D96" s="219"/>
      <c r="E96" s="180"/>
      <c r="F96" s="180"/>
      <c r="G96" s="213"/>
      <c r="H96" s="180"/>
      <c r="I96" s="214"/>
      <c r="J96" s="180"/>
    </row>
    <row r="97" spans="2:10" x14ac:dyDescent="0.25">
      <c r="B97" s="180"/>
      <c r="C97" s="180"/>
      <c r="D97" s="219"/>
      <c r="E97" s="180"/>
      <c r="F97" s="180"/>
      <c r="G97" s="213"/>
      <c r="H97" s="180"/>
      <c r="I97" s="214"/>
      <c r="J97" s="180"/>
    </row>
    <row r="98" spans="2:10" x14ac:dyDescent="0.25">
      <c r="B98" s="220"/>
      <c r="C98" s="220"/>
      <c r="D98" s="221"/>
      <c r="E98" s="220"/>
      <c r="F98" s="220"/>
      <c r="G98" s="222"/>
      <c r="H98" s="220"/>
      <c r="I98" s="223"/>
      <c r="J98" s="220"/>
    </row>
    <row r="99" spans="2:10" x14ac:dyDescent="0.25">
      <c r="B99" s="180"/>
      <c r="C99" s="180"/>
      <c r="D99" s="219"/>
      <c r="E99" s="180"/>
      <c r="F99" s="180"/>
      <c r="G99" s="213"/>
      <c r="H99" s="180"/>
      <c r="I99" s="214"/>
      <c r="J99" s="180"/>
    </row>
    <row r="100" spans="2:10" x14ac:dyDescent="0.25">
      <c r="B100" s="180"/>
      <c r="C100" s="180"/>
      <c r="D100" s="219"/>
      <c r="E100" s="180"/>
      <c r="F100" s="180"/>
      <c r="G100" s="213"/>
      <c r="H100" s="180"/>
      <c r="I100" s="214"/>
      <c r="J100" s="180"/>
    </row>
    <row r="101" spans="2:10" x14ac:dyDescent="0.25">
      <c r="B101" s="180"/>
      <c r="C101" s="180"/>
      <c r="D101" s="219"/>
      <c r="E101" s="180"/>
      <c r="F101" s="180"/>
      <c r="G101" s="213"/>
      <c r="H101" s="180"/>
      <c r="I101" s="214"/>
      <c r="J101" s="180"/>
    </row>
    <row r="102" spans="2:10" x14ac:dyDescent="0.25">
      <c r="B102" s="180"/>
      <c r="C102" s="180"/>
      <c r="D102" s="219"/>
      <c r="E102" s="180"/>
      <c r="F102" s="180"/>
      <c r="G102" s="213"/>
      <c r="H102" s="180"/>
      <c r="I102" s="214"/>
      <c r="J102" s="180"/>
    </row>
    <row r="103" spans="2:10" x14ac:dyDescent="0.25">
      <c r="B103" s="180"/>
      <c r="C103" s="180"/>
      <c r="D103" s="219"/>
      <c r="E103" s="180"/>
      <c r="F103" s="180"/>
      <c r="G103" s="213"/>
      <c r="H103" s="180"/>
      <c r="I103" s="214"/>
      <c r="J103" s="180"/>
    </row>
    <row r="104" spans="2:10" x14ac:dyDescent="0.25">
      <c r="D104" s="218"/>
    </row>
    <row r="105" spans="2:10" x14ac:dyDescent="0.25">
      <c r="D105" s="218"/>
    </row>
  </sheetData>
  <mergeCells count="1">
    <mergeCell ref="C2:G2"/>
  </mergeCells>
  <conditionalFormatting sqref="B13">
    <cfRule type="duplicateValues" dxfId="3" priority="3"/>
  </conditionalFormatting>
  <conditionalFormatting sqref="B14">
    <cfRule type="duplicateValues" dxfId="2" priority="4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AC070-564E-474C-923F-FDD867A173E7}">
  <dimension ref="B2:K32"/>
  <sheetViews>
    <sheetView zoomScale="90" zoomScaleNormal="90" workbookViewId="0">
      <selection activeCell="I15" sqref="I15"/>
    </sheetView>
  </sheetViews>
  <sheetFormatPr defaultColWidth="8.7109375" defaultRowHeight="15" x14ac:dyDescent="0.25"/>
  <cols>
    <col min="1" max="1" width="4.42578125" customWidth="1"/>
    <col min="2" max="2" width="26.5703125" customWidth="1"/>
    <col min="3" max="3" width="63.5703125" customWidth="1"/>
    <col min="4" max="4" width="27" customWidth="1"/>
    <col min="5" max="5" width="19.7109375" customWidth="1"/>
    <col min="6" max="6" width="12.7109375" customWidth="1"/>
    <col min="7" max="7" width="8.5703125" customWidth="1"/>
    <col min="8" max="8" width="14.42578125" customWidth="1"/>
    <col min="9" max="9" width="13.5703125" customWidth="1"/>
    <col min="10" max="10" width="43" customWidth="1"/>
    <col min="11" max="11" width="11.7109375" bestFit="1" customWidth="1"/>
  </cols>
  <sheetData>
    <row r="2" spans="2:11" x14ac:dyDescent="0.25">
      <c r="B2" s="98" t="s">
        <v>174</v>
      </c>
    </row>
    <row r="3" spans="2:11" x14ac:dyDescent="0.25">
      <c r="B3" s="33"/>
    </row>
    <row r="4" spans="2:11" x14ac:dyDescent="0.25">
      <c r="B4" s="90" t="s">
        <v>9</v>
      </c>
    </row>
    <row r="5" spans="2:11" ht="32.65" customHeight="1" x14ac:dyDescent="0.25">
      <c r="B5" s="89" t="s">
        <v>7</v>
      </c>
      <c r="C5" s="557" t="s">
        <v>158</v>
      </c>
      <c r="D5" s="558"/>
      <c r="E5" s="88" t="s">
        <v>68</v>
      </c>
      <c r="F5" s="87" t="s">
        <v>4</v>
      </c>
      <c r="G5" s="103" t="s">
        <v>159</v>
      </c>
      <c r="H5" s="97" t="s">
        <v>166</v>
      </c>
      <c r="I5" s="102" t="s">
        <v>6</v>
      </c>
    </row>
    <row r="6" spans="2:11" ht="45" x14ac:dyDescent="0.25">
      <c r="B6" s="107">
        <v>2239</v>
      </c>
      <c r="C6" s="91" t="s">
        <v>167</v>
      </c>
      <c r="D6" s="92" t="s">
        <v>157</v>
      </c>
      <c r="E6" s="104"/>
      <c r="F6" s="93"/>
      <c r="G6" s="93">
        <v>12</v>
      </c>
      <c r="H6" s="93">
        <v>350</v>
      </c>
      <c r="I6" s="99">
        <f>H6*G6</f>
        <v>4200</v>
      </c>
    </row>
    <row r="7" spans="2:11" ht="45" x14ac:dyDescent="0.25">
      <c r="B7" s="107">
        <v>2244</v>
      </c>
      <c r="C7" s="108" t="s">
        <v>169</v>
      </c>
      <c r="D7" s="139" t="s">
        <v>168</v>
      </c>
      <c r="E7" s="105">
        <v>2166</v>
      </c>
      <c r="F7" s="93">
        <v>12</v>
      </c>
      <c r="G7" s="93">
        <v>48</v>
      </c>
      <c r="H7" s="93">
        <v>0.22</v>
      </c>
      <c r="I7" s="100">
        <f>H7*E7*G7</f>
        <v>22872.959999999999</v>
      </c>
    </row>
    <row r="8" spans="2:11" ht="30" x14ac:dyDescent="0.25">
      <c r="B8" s="107">
        <v>2244</v>
      </c>
      <c r="C8" s="94" t="s">
        <v>176</v>
      </c>
      <c r="D8" s="104" t="s">
        <v>175</v>
      </c>
      <c r="E8" s="105">
        <v>2166</v>
      </c>
      <c r="F8" s="93">
        <v>4</v>
      </c>
      <c r="G8" s="93">
        <v>24</v>
      </c>
      <c r="H8" s="93">
        <v>0.22</v>
      </c>
      <c r="I8" s="100">
        <f>H8*E8*G8</f>
        <v>11436.48</v>
      </c>
    </row>
    <row r="9" spans="2:11" ht="60" x14ac:dyDescent="0.25">
      <c r="B9" s="107">
        <v>2244</v>
      </c>
      <c r="C9" s="95" t="s">
        <v>170</v>
      </c>
      <c r="D9" s="104"/>
      <c r="E9" s="105">
        <v>2166</v>
      </c>
      <c r="F9" s="93"/>
      <c r="G9" s="93"/>
      <c r="H9" s="96"/>
      <c r="I9" s="100">
        <f>8433.18+1377.59</f>
        <v>9810.77</v>
      </c>
    </row>
    <row r="10" spans="2:11" x14ac:dyDescent="0.25">
      <c r="B10" s="109">
        <v>2244</v>
      </c>
      <c r="C10" s="106" t="s">
        <v>171</v>
      </c>
      <c r="D10" s="104"/>
      <c r="E10" s="104"/>
      <c r="F10" s="96">
        <v>12</v>
      </c>
      <c r="G10" s="104"/>
      <c r="H10" s="96">
        <v>100</v>
      </c>
      <c r="I10" s="100">
        <f>F10*H10</f>
        <v>1200</v>
      </c>
    </row>
    <row r="11" spans="2:11" ht="30" x14ac:dyDescent="0.25">
      <c r="B11" s="107">
        <v>5000</v>
      </c>
      <c r="C11" s="95" t="s">
        <v>172</v>
      </c>
      <c r="D11" s="101" t="s">
        <v>164</v>
      </c>
      <c r="E11" s="104"/>
      <c r="F11" s="96"/>
      <c r="G11" s="110"/>
      <c r="H11" s="96"/>
      <c r="I11" s="100">
        <v>2350</v>
      </c>
    </row>
    <row r="12" spans="2:11" x14ac:dyDescent="0.25">
      <c r="I12" s="111">
        <f>SUM(I6:I11)</f>
        <v>51870.210000000006</v>
      </c>
      <c r="K12" s="52"/>
    </row>
    <row r="13" spans="2:11" x14ac:dyDescent="0.25">
      <c r="B13" s="90" t="s">
        <v>12</v>
      </c>
    </row>
    <row r="14" spans="2:11" x14ac:dyDescent="0.25">
      <c r="B14" s="107">
        <v>1100</v>
      </c>
      <c r="C14" s="559" t="s">
        <v>10</v>
      </c>
      <c r="D14" s="559"/>
      <c r="E14" s="559"/>
      <c r="F14" s="559"/>
      <c r="G14" s="559"/>
      <c r="H14" s="559"/>
      <c r="I14" s="112">
        <f>E29</f>
        <v>9630.8639999999978</v>
      </c>
    </row>
    <row r="15" spans="2:11" x14ac:dyDescent="0.25">
      <c r="B15" s="107">
        <v>1200</v>
      </c>
      <c r="C15" s="559" t="s">
        <v>11</v>
      </c>
      <c r="D15" s="559"/>
      <c r="E15" s="559"/>
      <c r="F15" s="559"/>
      <c r="G15" s="559"/>
      <c r="H15" s="559"/>
      <c r="I15" s="112">
        <f>E31</f>
        <v>2350.8069570999996</v>
      </c>
      <c r="K15" s="52"/>
    </row>
    <row r="16" spans="2:11" x14ac:dyDescent="0.25">
      <c r="I16" s="63">
        <f>SUM(I14:I15)</f>
        <v>11981.670957099997</v>
      </c>
    </row>
    <row r="17" spans="2:10" x14ac:dyDescent="0.25">
      <c r="B17" t="s">
        <v>173</v>
      </c>
      <c r="H17" s="52"/>
      <c r="I17" s="52"/>
      <c r="J17" s="113"/>
    </row>
    <row r="18" spans="2:10" x14ac:dyDescent="0.25">
      <c r="I18" s="52">
        <f>I12+I16</f>
        <v>63851.880957100002</v>
      </c>
    </row>
    <row r="19" spans="2:10" x14ac:dyDescent="0.25">
      <c r="C19" s="33" t="s">
        <v>146</v>
      </c>
      <c r="E19" s="114"/>
    </row>
    <row r="20" spans="2:10" x14ac:dyDescent="0.25">
      <c r="B20" s="115"/>
      <c r="C20" s="115" t="s">
        <v>147</v>
      </c>
      <c r="D20" s="115" t="s">
        <v>148</v>
      </c>
      <c r="E20" s="116" t="s">
        <v>149</v>
      </c>
    </row>
    <row r="21" spans="2:10" x14ac:dyDescent="0.25">
      <c r="B21" s="50" t="s">
        <v>161</v>
      </c>
      <c r="C21" s="116">
        <v>0.09</v>
      </c>
      <c r="D21" s="278">
        <v>2449</v>
      </c>
      <c r="E21" s="116">
        <f t="shared" ref="E21:E25" si="0">ROUND(C21*D21,2)</f>
        <v>220.41</v>
      </c>
      <c r="I21" s="52"/>
    </row>
    <row r="22" spans="2:10" x14ac:dyDescent="0.25">
      <c r="B22" s="50" t="s">
        <v>163</v>
      </c>
      <c r="C22" s="116">
        <v>0.15</v>
      </c>
      <c r="D22" s="278">
        <v>2051</v>
      </c>
      <c r="E22" s="116">
        <f t="shared" si="0"/>
        <v>307.64999999999998</v>
      </c>
      <c r="I22" s="182"/>
    </row>
    <row r="23" spans="2:10" x14ac:dyDescent="0.25">
      <c r="B23" s="24" t="s">
        <v>160</v>
      </c>
      <c r="C23" s="118">
        <v>0.05</v>
      </c>
      <c r="D23" s="278">
        <v>1283</v>
      </c>
      <c r="E23" s="116">
        <f t="shared" si="0"/>
        <v>64.150000000000006</v>
      </c>
    </row>
    <row r="24" spans="2:10" x14ac:dyDescent="0.25">
      <c r="B24" s="24" t="s">
        <v>150</v>
      </c>
      <c r="C24" s="118">
        <v>0.04</v>
      </c>
      <c r="D24" s="278">
        <v>1340</v>
      </c>
      <c r="E24" s="116">
        <f t="shared" si="0"/>
        <v>53.6</v>
      </c>
    </row>
    <row r="25" spans="2:10" x14ac:dyDescent="0.25">
      <c r="B25" s="24" t="s">
        <v>162</v>
      </c>
      <c r="C25" s="118">
        <v>0.01</v>
      </c>
      <c r="D25" s="319">
        <v>2300</v>
      </c>
      <c r="E25" s="116">
        <f t="shared" si="0"/>
        <v>23</v>
      </c>
      <c r="H25" s="52"/>
    </row>
    <row r="26" spans="2:10" x14ac:dyDescent="0.25">
      <c r="B26" s="587" t="s">
        <v>151</v>
      </c>
      <c r="C26" s="588"/>
      <c r="D26" s="589"/>
      <c r="E26" s="118">
        <f>SUM(E21:E25)</f>
        <v>668.81</v>
      </c>
    </row>
    <row r="27" spans="2:10" x14ac:dyDescent="0.25">
      <c r="B27" s="590" t="s">
        <v>152</v>
      </c>
      <c r="C27" s="590"/>
      <c r="D27" s="590"/>
      <c r="E27" s="116">
        <f>E26*0.2</f>
        <v>133.762</v>
      </c>
    </row>
    <row r="28" spans="2:10" x14ac:dyDescent="0.25">
      <c r="B28" s="590" t="s">
        <v>132</v>
      </c>
      <c r="C28" s="590"/>
      <c r="D28" s="590"/>
      <c r="E28" s="116">
        <f>E26+E27</f>
        <v>802.57199999999989</v>
      </c>
      <c r="H28" s="52"/>
    </row>
    <row r="29" spans="2:10" x14ac:dyDescent="0.25">
      <c r="B29" s="591" t="s">
        <v>153</v>
      </c>
      <c r="C29" s="591"/>
      <c r="D29" s="591"/>
      <c r="E29" s="119">
        <f>E28*12</f>
        <v>9630.8639999999978</v>
      </c>
    </row>
    <row r="30" spans="2:10" x14ac:dyDescent="0.25">
      <c r="B30" s="590" t="s">
        <v>154</v>
      </c>
      <c r="C30" s="590"/>
      <c r="D30" s="590"/>
      <c r="E30" s="120">
        <f>E26*0.5</f>
        <v>334.40499999999997</v>
      </c>
      <c r="H30" s="52"/>
    </row>
    <row r="31" spans="2:10" x14ac:dyDescent="0.25">
      <c r="B31" s="591" t="s">
        <v>155</v>
      </c>
      <c r="C31" s="591"/>
      <c r="D31" s="591"/>
      <c r="E31" s="119">
        <f>(E29+E30)*0.2359</f>
        <v>2350.8069570999996</v>
      </c>
    </row>
    <row r="32" spans="2:10" x14ac:dyDescent="0.25">
      <c r="B32" s="592" t="s">
        <v>156</v>
      </c>
      <c r="C32" s="593"/>
      <c r="D32" s="594"/>
      <c r="E32" s="121">
        <f>E29+E31</f>
        <v>11981.670957099997</v>
      </c>
    </row>
  </sheetData>
  <mergeCells count="10">
    <mergeCell ref="B28:D28"/>
    <mergeCell ref="B29:D29"/>
    <mergeCell ref="B30:D30"/>
    <mergeCell ref="B31:D31"/>
    <mergeCell ref="B32:D32"/>
    <mergeCell ref="C5:D5"/>
    <mergeCell ref="C14:H14"/>
    <mergeCell ref="C15:H15"/>
    <mergeCell ref="B26:D26"/>
    <mergeCell ref="B27:D2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1667-21B5-4489-B555-5297D6F8D674}">
  <dimension ref="A1:P28"/>
  <sheetViews>
    <sheetView topLeftCell="A6" zoomScale="80" zoomScaleNormal="80" workbookViewId="0">
      <selection activeCell="N15" sqref="N15"/>
    </sheetView>
  </sheetViews>
  <sheetFormatPr defaultColWidth="8.7109375" defaultRowHeight="15.75" x14ac:dyDescent="0.25"/>
  <cols>
    <col min="1" max="1" width="8.7109375" style="181"/>
    <col min="2" max="2" width="51.7109375" style="181" customWidth="1"/>
    <col min="3" max="3" width="24.28515625" style="181" customWidth="1"/>
    <col min="4" max="4" width="8.7109375" style="181"/>
    <col min="5" max="5" width="10.7109375" style="181" customWidth="1"/>
    <col min="6" max="6" width="11" style="181" customWidth="1"/>
    <col min="7" max="7" width="11.5703125" style="181" customWidth="1"/>
    <col min="8" max="8" width="29.7109375" style="181" customWidth="1"/>
    <col min="9" max="9" width="15.5703125" style="181" customWidth="1"/>
    <col min="10" max="10" width="8.7109375" style="181"/>
    <col min="11" max="11" width="9.28515625" style="181" bestFit="1" customWidth="1"/>
    <col min="12" max="16384" width="8.7109375" style="181"/>
  </cols>
  <sheetData>
    <row r="1" spans="1:16" x14ac:dyDescent="0.25">
      <c r="A1" s="44" t="s">
        <v>1162</v>
      </c>
    </row>
    <row r="2" spans="1:16" x14ac:dyDescent="0.25">
      <c r="A2" s="183" t="s">
        <v>1164</v>
      </c>
      <c r="B2" s="205"/>
      <c r="C2" s="180"/>
      <c r="D2" s="180"/>
      <c r="E2" s="180"/>
      <c r="F2" s="180"/>
      <c r="G2" s="180"/>
      <c r="H2" s="180"/>
    </row>
    <row r="3" spans="1:16" x14ac:dyDescent="0.25">
      <c r="A3" s="183" t="s">
        <v>1165</v>
      </c>
      <c r="B3" s="180"/>
      <c r="C3" s="180"/>
      <c r="D3" s="180"/>
      <c r="E3" s="180"/>
      <c r="F3" s="180"/>
      <c r="G3" s="180"/>
      <c r="H3" s="180"/>
    </row>
    <row r="4" spans="1:16" x14ac:dyDescent="0.25">
      <c r="A4" s="508" t="s">
        <v>1167</v>
      </c>
      <c r="B4" s="180"/>
      <c r="C4" s="180"/>
      <c r="D4" s="180"/>
      <c r="E4" s="180"/>
      <c r="F4" s="180"/>
      <c r="G4" s="180"/>
      <c r="H4" s="180"/>
    </row>
    <row r="5" spans="1:16" x14ac:dyDescent="0.25">
      <c r="A5" s="183" t="s">
        <v>1168</v>
      </c>
      <c r="B5" s="180"/>
      <c r="C5" s="180"/>
      <c r="D5" s="180"/>
      <c r="E5" s="180"/>
      <c r="F5" s="180"/>
      <c r="G5" s="180"/>
      <c r="H5" s="180"/>
    </row>
    <row r="6" spans="1:16" x14ac:dyDescent="0.25">
      <c r="A6" s="218"/>
      <c r="B6" s="180"/>
      <c r="C6" s="180"/>
      <c r="D6" s="180"/>
      <c r="E6" s="180"/>
      <c r="F6" s="180"/>
      <c r="G6" s="180"/>
      <c r="H6" s="180"/>
    </row>
    <row r="7" spans="1:16" x14ac:dyDescent="0.25">
      <c r="A7" s="273" t="s">
        <v>263</v>
      </c>
      <c r="B7" s="274"/>
    </row>
    <row r="8" spans="1:16" x14ac:dyDescent="0.25">
      <c r="A8" s="275" t="s">
        <v>1163</v>
      </c>
      <c r="B8" s="274"/>
    </row>
    <row r="9" spans="1:16" ht="48" customHeight="1" x14ac:dyDescent="0.25">
      <c r="E9" s="276" t="s">
        <v>148</v>
      </c>
      <c r="F9" s="276" t="s">
        <v>250</v>
      </c>
      <c r="G9" s="276" t="s">
        <v>251</v>
      </c>
      <c r="H9" s="276" t="s">
        <v>252</v>
      </c>
      <c r="I9" s="276" t="s">
        <v>13</v>
      </c>
      <c r="J9" s="277"/>
    </row>
    <row r="10" spans="1:16" ht="78.75" x14ac:dyDescent="0.25">
      <c r="A10" s="288">
        <v>1100</v>
      </c>
      <c r="B10" s="224" t="s">
        <v>272</v>
      </c>
      <c r="C10" s="289" t="s">
        <v>269</v>
      </c>
      <c r="D10" s="291" t="s">
        <v>270</v>
      </c>
      <c r="E10" s="292">
        <v>1390</v>
      </c>
      <c r="F10" s="293">
        <f>E10/21/8</f>
        <v>8.2738095238095237</v>
      </c>
      <c r="G10" s="280">
        <f>F10/60</f>
        <v>0.13789682539682541</v>
      </c>
      <c r="H10" s="259">
        <v>120</v>
      </c>
      <c r="I10" s="246">
        <f>H10*G10</f>
        <v>16.547619047619047</v>
      </c>
      <c r="J10" s="262" t="s">
        <v>238</v>
      </c>
      <c r="K10" s="287">
        <f>SUM(I10:I11)</f>
        <v>30.089285714285715</v>
      </c>
      <c r="L10" s="202" t="s">
        <v>262</v>
      </c>
      <c r="N10" s="245"/>
      <c r="O10" s="202"/>
      <c r="P10" s="202"/>
    </row>
    <row r="11" spans="1:16" ht="78.75" x14ac:dyDescent="0.25">
      <c r="A11" s="288">
        <v>1100</v>
      </c>
      <c r="B11" s="224" t="s">
        <v>272</v>
      </c>
      <c r="C11" s="289" t="s">
        <v>264</v>
      </c>
      <c r="D11" s="291" t="s">
        <v>271</v>
      </c>
      <c r="E11" s="292">
        <v>1200</v>
      </c>
      <c r="F11" s="293">
        <f>E11/21/8</f>
        <v>7.1428571428571432</v>
      </c>
      <c r="G11" s="280">
        <f>F11/60</f>
        <v>0.11904761904761905</v>
      </c>
      <c r="H11" s="259">
        <v>113.75</v>
      </c>
      <c r="I11" s="246">
        <f>H11*G11</f>
        <v>13.541666666666668</v>
      </c>
      <c r="J11" s="262" t="s">
        <v>238</v>
      </c>
    </row>
    <row r="13" spans="1:16" x14ac:dyDescent="0.25">
      <c r="A13" s="275" t="s">
        <v>1166</v>
      </c>
      <c r="B13" s="274"/>
    </row>
    <row r="14" spans="1:16" ht="47.25" x14ac:dyDescent="0.25">
      <c r="E14" s="276" t="s">
        <v>148</v>
      </c>
      <c r="F14" s="276" t="s">
        <v>250</v>
      </c>
      <c r="G14" s="276" t="s">
        <v>251</v>
      </c>
      <c r="H14" s="276" t="s">
        <v>252</v>
      </c>
      <c r="I14" s="276" t="s">
        <v>13</v>
      </c>
      <c r="J14" s="277"/>
    </row>
    <row r="15" spans="1:16" ht="78.75" x14ac:dyDescent="0.25">
      <c r="A15" s="288">
        <v>1100</v>
      </c>
      <c r="B15" s="224" t="s">
        <v>272</v>
      </c>
      <c r="C15" s="289" t="s">
        <v>269</v>
      </c>
      <c r="D15" s="294" t="s">
        <v>270</v>
      </c>
      <c r="E15" s="295">
        <v>1390</v>
      </c>
      <c r="F15" s="296">
        <f>E15/21/8</f>
        <v>8.2738095238095237</v>
      </c>
      <c r="G15" s="267">
        <f>F15/60</f>
        <v>0.13789682539682541</v>
      </c>
      <c r="H15" s="259">
        <v>179.9</v>
      </c>
      <c r="I15" s="246">
        <f>H15*G15</f>
        <v>24.807638888888892</v>
      </c>
      <c r="J15" s="262" t="s">
        <v>238</v>
      </c>
      <c r="K15" s="287">
        <f>I15+I16</f>
        <v>29.900496031746037</v>
      </c>
      <c r="L15" s="202" t="s">
        <v>262</v>
      </c>
      <c r="N15" s="245"/>
    </row>
    <row r="16" spans="1:16" ht="78.75" x14ac:dyDescent="0.25">
      <c r="A16" s="288">
        <v>1100</v>
      </c>
      <c r="B16" s="224" t="s">
        <v>272</v>
      </c>
      <c r="C16" s="289" t="s">
        <v>264</v>
      </c>
      <c r="D16" s="294" t="s">
        <v>271</v>
      </c>
      <c r="E16" s="295">
        <v>1200</v>
      </c>
      <c r="F16" s="296">
        <f>E16/21/8</f>
        <v>7.1428571428571432</v>
      </c>
      <c r="G16" s="267">
        <f>F16/60</f>
        <v>0.11904761904761905</v>
      </c>
      <c r="H16" s="259">
        <v>42.78</v>
      </c>
      <c r="I16" s="246">
        <f>H16*G16</f>
        <v>5.0928571428571434</v>
      </c>
      <c r="J16" s="262" t="s">
        <v>238</v>
      </c>
    </row>
    <row r="18" spans="1:14" x14ac:dyDescent="0.25">
      <c r="A18" s="275" t="s">
        <v>1167</v>
      </c>
      <c r="B18" s="274"/>
    </row>
    <row r="19" spans="1:14" ht="47.25" x14ac:dyDescent="0.25">
      <c r="E19" s="276" t="s">
        <v>148</v>
      </c>
      <c r="F19" s="276" t="s">
        <v>250</v>
      </c>
      <c r="G19" s="276" t="s">
        <v>251</v>
      </c>
      <c r="H19" s="276" t="s">
        <v>252</v>
      </c>
      <c r="I19" s="276" t="s">
        <v>13</v>
      </c>
      <c r="J19" s="277"/>
    </row>
    <row r="20" spans="1:14" ht="31.5" x14ac:dyDescent="0.25">
      <c r="A20" s="288">
        <v>1100</v>
      </c>
      <c r="B20" s="224" t="s">
        <v>275</v>
      </c>
      <c r="C20" s="289" t="s">
        <v>273</v>
      </c>
      <c r="D20" s="294" t="s">
        <v>268</v>
      </c>
      <c r="E20" s="295">
        <v>1979</v>
      </c>
      <c r="F20" s="296">
        <f>E20/21/8</f>
        <v>11.779761904761905</v>
      </c>
      <c r="G20" s="267">
        <f>F20/60</f>
        <v>0.19632936507936508</v>
      </c>
      <c r="H20" s="297">
        <v>128.15</v>
      </c>
      <c r="I20" s="246">
        <f>H20*G20</f>
        <v>25.159608134920635</v>
      </c>
      <c r="J20" s="262" t="s">
        <v>238</v>
      </c>
      <c r="K20" s="287">
        <f>SUM(I20:I21)</f>
        <v>33.433417658730157</v>
      </c>
      <c r="L20" s="202" t="s">
        <v>262</v>
      </c>
    </row>
    <row r="21" spans="1:14" ht="31.5" x14ac:dyDescent="0.25">
      <c r="A21" s="288">
        <v>1100</v>
      </c>
      <c r="B21" s="224" t="s">
        <v>274</v>
      </c>
      <c r="C21" s="289" t="s">
        <v>269</v>
      </c>
      <c r="D21" s="294" t="s">
        <v>270</v>
      </c>
      <c r="E21" s="295">
        <v>1390</v>
      </c>
      <c r="F21" s="296">
        <f>E21/21/8</f>
        <v>8.2738095238095237</v>
      </c>
      <c r="G21" s="267">
        <f>F21/60</f>
        <v>0.13789682539682541</v>
      </c>
      <c r="H21" s="259">
        <v>60</v>
      </c>
      <c r="I21" s="246">
        <f>H21*G21</f>
        <v>8.2738095238095237</v>
      </c>
      <c r="J21" s="262" t="s">
        <v>238</v>
      </c>
      <c r="K21" s="245"/>
      <c r="N21" s="209"/>
    </row>
    <row r="24" spans="1:14" x14ac:dyDescent="0.25">
      <c r="A24" s="275" t="s">
        <v>1168</v>
      </c>
      <c r="B24" s="274"/>
    </row>
    <row r="25" spans="1:14" ht="47.25" x14ac:dyDescent="0.25">
      <c r="E25" s="276" t="s">
        <v>148</v>
      </c>
      <c r="F25" s="276" t="s">
        <v>250</v>
      </c>
      <c r="G25" s="276" t="s">
        <v>251</v>
      </c>
      <c r="H25" s="276" t="s">
        <v>252</v>
      </c>
      <c r="I25" s="276" t="s">
        <v>13</v>
      </c>
      <c r="J25" s="277"/>
    </row>
    <row r="26" spans="1:14" ht="31.5" x14ac:dyDescent="0.25">
      <c r="A26" s="288">
        <v>1100</v>
      </c>
      <c r="B26" s="224" t="s">
        <v>278</v>
      </c>
      <c r="C26" s="289" t="s">
        <v>276</v>
      </c>
      <c r="D26" s="294" t="s">
        <v>277</v>
      </c>
      <c r="E26" s="295">
        <v>1340</v>
      </c>
      <c r="F26" s="296">
        <f>E26/21/8</f>
        <v>7.9761904761904763</v>
      </c>
      <c r="G26" s="267">
        <f>F26/60</f>
        <v>0.13293650793650794</v>
      </c>
      <c r="H26" s="259">
        <v>90</v>
      </c>
      <c r="I26" s="246">
        <f>H26*G26</f>
        <v>11.964285714285714</v>
      </c>
      <c r="J26" s="262" t="s">
        <v>238</v>
      </c>
      <c r="K26" s="287">
        <f>SUM(I26:I27)</f>
        <v>13.372619047619047</v>
      </c>
      <c r="L26" s="202" t="s">
        <v>262</v>
      </c>
    </row>
    <row r="27" spans="1:14" x14ac:dyDescent="0.25">
      <c r="A27" s="288">
        <v>1100</v>
      </c>
      <c r="B27" s="288" t="s">
        <v>267</v>
      </c>
      <c r="C27" s="298" t="s">
        <v>265</v>
      </c>
      <c r="D27" s="294" t="s">
        <v>266</v>
      </c>
      <c r="E27" s="295">
        <v>2600</v>
      </c>
      <c r="F27" s="296">
        <f>E27/21/8</f>
        <v>15.476190476190476</v>
      </c>
      <c r="G27" s="267">
        <f>F27/60</f>
        <v>0.25793650793650796</v>
      </c>
      <c r="H27" s="259">
        <v>5.46</v>
      </c>
      <c r="I27" s="246">
        <f>H27*G27</f>
        <v>1.4083333333333334</v>
      </c>
      <c r="J27" s="262" t="s">
        <v>238</v>
      </c>
    </row>
    <row r="28" spans="1:14" x14ac:dyDescent="0.25">
      <c r="A28" s="290"/>
      <c r="B28" s="290"/>
      <c r="C28" s="299"/>
      <c r="D28" s="300"/>
      <c r="E28" s="301"/>
      <c r="F28" s="302"/>
      <c r="G28" s="285"/>
      <c r="H28" s="281"/>
      <c r="I28" s="282"/>
      <c r="J28" s="25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D4AB0-424E-4D9A-983B-0C9AD5A0C70F}">
  <dimension ref="A1:K12"/>
  <sheetViews>
    <sheetView zoomScale="70" zoomScaleNormal="70" workbookViewId="0">
      <selection activeCell="D21" sqref="D21"/>
    </sheetView>
  </sheetViews>
  <sheetFormatPr defaultColWidth="8.7109375" defaultRowHeight="15.75" x14ac:dyDescent="0.25"/>
  <cols>
    <col min="1" max="1" width="8.7109375" style="181"/>
    <col min="2" max="2" width="49.5703125" style="181" customWidth="1"/>
    <col min="3" max="3" width="25.28515625" style="181" customWidth="1"/>
    <col min="4" max="4" width="14.7109375" style="181" customWidth="1"/>
    <col min="5" max="5" width="13.7109375" style="181" customWidth="1"/>
    <col min="6" max="6" width="14.28515625" style="181" customWidth="1"/>
    <col min="7" max="7" width="17.28515625" style="181" customWidth="1"/>
    <col min="8" max="8" width="14.5703125" style="181" customWidth="1"/>
    <col min="9" max="9" width="17" style="181" customWidth="1"/>
    <col min="10" max="10" width="14.7109375" style="181" customWidth="1"/>
    <col min="11" max="16384" width="8.7109375" style="181"/>
  </cols>
  <sheetData>
    <row r="1" spans="1:11" x14ac:dyDescent="0.25">
      <c r="A1" s="509" t="s">
        <v>1169</v>
      </c>
      <c r="B1" s="205"/>
      <c r="C1" s="180"/>
      <c r="D1" s="180"/>
      <c r="E1" s="180"/>
      <c r="F1" s="180"/>
      <c r="G1" s="180"/>
    </row>
    <row r="2" spans="1:11" x14ac:dyDescent="0.25">
      <c r="A2" s="510" t="s">
        <v>1170</v>
      </c>
      <c r="B2" s="180"/>
      <c r="C2" s="180"/>
      <c r="D2" s="180"/>
      <c r="E2" s="180"/>
      <c r="F2" s="180"/>
      <c r="G2" s="180"/>
    </row>
    <row r="3" spans="1:11" x14ac:dyDescent="0.25">
      <c r="A3" s="286"/>
      <c r="B3" s="180"/>
      <c r="C3" s="180"/>
      <c r="D3" s="180"/>
      <c r="E3" s="180"/>
      <c r="F3" s="180"/>
      <c r="G3" s="180"/>
    </row>
    <row r="4" spans="1:11" x14ac:dyDescent="0.25">
      <c r="A4" s="218"/>
      <c r="B4" s="180"/>
      <c r="C4" s="180"/>
      <c r="D4" s="180"/>
      <c r="E4" s="180"/>
      <c r="F4" s="180"/>
      <c r="G4" s="180"/>
    </row>
    <row r="5" spans="1:11" x14ac:dyDescent="0.25">
      <c r="A5" s="218"/>
      <c r="B5" s="180"/>
      <c r="C5" s="180"/>
      <c r="D5" s="180"/>
      <c r="E5" s="180"/>
      <c r="F5" s="180"/>
      <c r="G5" s="180"/>
    </row>
    <row r="6" spans="1:11" x14ac:dyDescent="0.25">
      <c r="A6" s="273" t="s">
        <v>263</v>
      </c>
      <c r="B6" s="274"/>
    </row>
    <row r="7" spans="1:11" x14ac:dyDescent="0.25">
      <c r="A7" s="303"/>
      <c r="B7" s="274"/>
    </row>
    <row r="8" spans="1:11" ht="63" x14ac:dyDescent="0.25">
      <c r="D8" s="276" t="s">
        <v>148</v>
      </c>
      <c r="E8" s="276" t="s">
        <v>250</v>
      </c>
      <c r="F8" s="276" t="s">
        <v>251</v>
      </c>
      <c r="G8" s="276" t="s">
        <v>252</v>
      </c>
      <c r="H8" s="276" t="s">
        <v>13</v>
      </c>
      <c r="I8" s="277"/>
    </row>
    <row r="9" spans="1:11" ht="42" customHeight="1" x14ac:dyDescent="0.25">
      <c r="A9" s="288">
        <v>1100</v>
      </c>
      <c r="B9" s="595" t="s">
        <v>1172</v>
      </c>
      <c r="C9" s="596"/>
      <c r="D9" s="307">
        <v>1556</v>
      </c>
      <c r="E9" s="293">
        <f>D9/21/8</f>
        <v>9.2619047619047628</v>
      </c>
      <c r="F9" s="280">
        <f>E9/60</f>
        <v>0.15436507936507937</v>
      </c>
      <c r="G9" s="259">
        <v>120</v>
      </c>
      <c r="H9" s="246">
        <f>G9*F9</f>
        <v>18.523809523809526</v>
      </c>
      <c r="I9" s="262" t="s">
        <v>238</v>
      </c>
      <c r="J9" s="287">
        <f>SUM(H9:H9)</f>
        <v>18.523809523809526</v>
      </c>
      <c r="K9" s="202" t="s">
        <v>262</v>
      </c>
    </row>
    <row r="10" spans="1:11" x14ac:dyDescent="0.25">
      <c r="K10" s="202"/>
    </row>
    <row r="11" spans="1:11" x14ac:dyDescent="0.25">
      <c r="A11" s="513">
        <v>1100</v>
      </c>
      <c r="B11" s="513" t="s">
        <v>255</v>
      </c>
      <c r="C11" s="264" t="s">
        <v>256</v>
      </c>
      <c r="D11" s="279">
        <v>1250</v>
      </c>
      <c r="E11" s="293">
        <f>D11/21/8</f>
        <v>7.4404761904761907</v>
      </c>
      <c r="F11" s="280">
        <f>E11/60</f>
        <v>0.12400793650793651</v>
      </c>
      <c r="G11" s="514">
        <v>10</v>
      </c>
      <c r="H11" s="515">
        <f>G11*F11</f>
        <v>1.2400793650793651</v>
      </c>
      <c r="I11" s="262" t="s">
        <v>1171</v>
      </c>
      <c r="J11" s="517">
        <f>SUM(H11:H12)</f>
        <v>1.5351984126984128</v>
      </c>
      <c r="K11" s="202" t="s">
        <v>262</v>
      </c>
    </row>
    <row r="12" spans="1:11" x14ac:dyDescent="0.25">
      <c r="A12" s="513">
        <v>1100</v>
      </c>
      <c r="B12" s="516" t="s">
        <v>249</v>
      </c>
      <c r="C12" s="91" t="s">
        <v>212</v>
      </c>
      <c r="D12" s="511">
        <v>1340</v>
      </c>
      <c r="E12" s="293">
        <f>D12/21/8</f>
        <v>7.9761904761904763</v>
      </c>
      <c r="F12" s="280">
        <f>E12/60</f>
        <v>0.13293650793650794</v>
      </c>
      <c r="G12" s="512">
        <v>2.2200000000000002</v>
      </c>
      <c r="H12" s="515">
        <f>G12*F12</f>
        <v>0.29511904761904767</v>
      </c>
      <c r="I12" s="262" t="s">
        <v>1171</v>
      </c>
    </row>
  </sheetData>
  <mergeCells count="1">
    <mergeCell ref="B9:C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47628-0D6D-4B09-81B2-0F2EA5F3EFFC}">
  <dimension ref="A1:M56"/>
  <sheetViews>
    <sheetView topLeftCell="A35" zoomScale="80" zoomScaleNormal="80" workbookViewId="0">
      <selection activeCell="A57" sqref="A57"/>
    </sheetView>
  </sheetViews>
  <sheetFormatPr defaultColWidth="8.7109375" defaultRowHeight="15.75" x14ac:dyDescent="0.25"/>
  <cols>
    <col min="1" max="1" width="8.7109375" style="181"/>
    <col min="2" max="2" width="20" style="181" customWidth="1"/>
    <col min="3" max="3" width="24.28515625" style="181" customWidth="1"/>
    <col min="4" max="4" width="17.7109375" style="181" customWidth="1"/>
    <col min="5" max="5" width="13.28515625" style="181" customWidth="1"/>
    <col min="6" max="6" width="12.7109375" style="181" customWidth="1"/>
    <col min="7" max="7" width="14.28515625" style="181" customWidth="1"/>
    <col min="8" max="8" width="18.7109375" style="181" customWidth="1"/>
    <col min="9" max="9" width="17.42578125" style="181" customWidth="1"/>
    <col min="10" max="10" width="15.5703125" style="181" customWidth="1"/>
    <col min="11" max="11" width="9.42578125" style="181" bestFit="1" customWidth="1"/>
    <col min="12" max="12" width="11.42578125" style="181" bestFit="1" customWidth="1"/>
    <col min="13" max="16384" width="8.7109375" style="181"/>
  </cols>
  <sheetData>
    <row r="1" spans="1:13" x14ac:dyDescent="0.25">
      <c r="A1" s="44" t="s">
        <v>1177</v>
      </c>
      <c r="B1" s="44"/>
    </row>
    <row r="2" spans="1:13" x14ac:dyDescent="0.25">
      <c r="A2" s="518" t="s">
        <v>1173</v>
      </c>
      <c r="B2" s="44"/>
    </row>
    <row r="3" spans="1:13" x14ac:dyDescent="0.25">
      <c r="A3" s="518" t="s">
        <v>1174</v>
      </c>
      <c r="B3" s="44"/>
    </row>
    <row r="4" spans="1:13" x14ac:dyDescent="0.25">
      <c r="A4" s="316" t="s">
        <v>1175</v>
      </c>
    </row>
    <row r="5" spans="1:13" x14ac:dyDescent="0.25">
      <c r="A5" s="518" t="s">
        <v>1176</v>
      </c>
    </row>
    <row r="6" spans="1:13" x14ac:dyDescent="0.25">
      <c r="A6" s="306"/>
    </row>
    <row r="7" spans="1:13" x14ac:dyDescent="0.25">
      <c r="A7" s="273" t="s">
        <v>263</v>
      </c>
      <c r="B7" s="274"/>
    </row>
    <row r="8" spans="1:13" x14ac:dyDescent="0.25">
      <c r="A8" s="305" t="s">
        <v>1173</v>
      </c>
      <c r="B8" s="274"/>
    </row>
    <row r="9" spans="1:13" ht="63" x14ac:dyDescent="0.25">
      <c r="E9" s="276" t="s">
        <v>148</v>
      </c>
      <c r="F9" s="276" t="s">
        <v>250</v>
      </c>
      <c r="G9" s="276" t="s">
        <v>251</v>
      </c>
      <c r="H9" s="276" t="s">
        <v>252</v>
      </c>
      <c r="I9" s="276" t="s">
        <v>13</v>
      </c>
      <c r="J9" s="277"/>
    </row>
    <row r="10" spans="1:13" x14ac:dyDescent="0.25">
      <c r="A10" s="597">
        <v>1100</v>
      </c>
      <c r="B10" s="606" t="s">
        <v>283</v>
      </c>
      <c r="C10" s="607"/>
      <c r="D10" s="310" t="s">
        <v>280</v>
      </c>
      <c r="E10" s="311">
        <v>1819</v>
      </c>
      <c r="F10" s="280">
        <f>E10/21/8</f>
        <v>10.827380952380953</v>
      </c>
      <c r="G10" s="280">
        <f>F10/60</f>
        <v>0.1804563492063492</v>
      </c>
      <c r="H10" s="259">
        <v>60</v>
      </c>
      <c r="I10" s="246">
        <f>H10*G10</f>
        <v>10.827380952380953</v>
      </c>
      <c r="J10" s="262" t="s">
        <v>238</v>
      </c>
      <c r="K10" s="287">
        <f>SUM(I10:I18)</f>
        <v>106.98711309523809</v>
      </c>
      <c r="L10" s="202" t="s">
        <v>262</v>
      </c>
    </row>
    <row r="11" spans="1:13" ht="31.5" x14ac:dyDescent="0.25">
      <c r="A11" s="598"/>
      <c r="B11" s="608"/>
      <c r="C11" s="609"/>
      <c r="D11" s="310" t="s">
        <v>254</v>
      </c>
      <c r="E11" s="311">
        <v>1437</v>
      </c>
      <c r="F11" s="280">
        <f t="shared" ref="F11:F12" si="0">E11/21/8</f>
        <v>8.5535714285714288</v>
      </c>
      <c r="G11" s="280">
        <f t="shared" ref="G11:G12" si="1">F11/60</f>
        <v>0.1425595238095238</v>
      </c>
      <c r="H11" s="259">
        <v>45</v>
      </c>
      <c r="I11" s="246">
        <f t="shared" ref="I11:I12" si="2">H11*G11</f>
        <v>6.4151785714285712</v>
      </c>
      <c r="J11" s="262" t="s">
        <v>238</v>
      </c>
      <c r="K11" s="211"/>
      <c r="L11" s="202"/>
    </row>
    <row r="12" spans="1:13" ht="31.5" x14ac:dyDescent="0.25">
      <c r="A12" s="599"/>
      <c r="B12" s="610"/>
      <c r="C12" s="611"/>
      <c r="D12" s="310" t="s">
        <v>279</v>
      </c>
      <c r="E12" s="311">
        <v>1437</v>
      </c>
      <c r="F12" s="280">
        <f t="shared" si="0"/>
        <v>8.5535714285714288</v>
      </c>
      <c r="G12" s="280">
        <f t="shared" si="1"/>
        <v>0.1425595238095238</v>
      </c>
      <c r="H12" s="259">
        <v>42.3</v>
      </c>
      <c r="I12" s="246">
        <f t="shared" si="2"/>
        <v>6.0302678571428565</v>
      </c>
      <c r="J12" s="262" t="s">
        <v>238</v>
      </c>
      <c r="K12" s="211"/>
      <c r="L12" s="202"/>
    </row>
    <row r="13" spans="1:13" x14ac:dyDescent="0.25">
      <c r="A13" s="597">
        <v>1100</v>
      </c>
      <c r="B13" s="600" t="s">
        <v>281</v>
      </c>
      <c r="C13" s="601"/>
      <c r="D13" s="310" t="s">
        <v>280</v>
      </c>
      <c r="E13" s="311">
        <v>1819</v>
      </c>
      <c r="F13" s="280">
        <f>E13/21/8</f>
        <v>10.827380952380953</v>
      </c>
      <c r="G13" s="280">
        <f>F13/60</f>
        <v>0.1804563492063492</v>
      </c>
      <c r="H13" s="259">
        <v>60</v>
      </c>
      <c r="I13" s="246">
        <f>H13*G13</f>
        <v>10.827380952380953</v>
      </c>
      <c r="J13" s="262" t="s">
        <v>238</v>
      </c>
    </row>
    <row r="14" spans="1:13" x14ac:dyDescent="0.25">
      <c r="A14" s="598"/>
      <c r="B14" s="602"/>
      <c r="C14" s="603"/>
      <c r="D14" s="312" t="s">
        <v>265</v>
      </c>
      <c r="E14" s="311">
        <v>2449</v>
      </c>
      <c r="F14" s="280">
        <f t="shared" ref="F14:F18" si="3">E14/21/8</f>
        <v>14.577380952380953</v>
      </c>
      <c r="G14" s="280">
        <f t="shared" ref="G14:G18" si="4">F14/60</f>
        <v>0.2429563492063492</v>
      </c>
      <c r="H14" s="259">
        <v>60</v>
      </c>
      <c r="I14" s="246">
        <f t="shared" ref="I14:I18" si="5">H14*G14</f>
        <v>14.577380952380953</v>
      </c>
      <c r="J14" s="262" t="s">
        <v>238</v>
      </c>
    </row>
    <row r="15" spans="1:13" x14ac:dyDescent="0.25">
      <c r="A15" s="598"/>
      <c r="B15" s="602"/>
      <c r="C15" s="603"/>
      <c r="D15" s="310" t="s">
        <v>282</v>
      </c>
      <c r="E15" s="311">
        <v>2449</v>
      </c>
      <c r="F15" s="280">
        <f t="shared" si="3"/>
        <v>14.577380952380953</v>
      </c>
      <c r="G15" s="280">
        <f t="shared" si="4"/>
        <v>0.2429563492063492</v>
      </c>
      <c r="H15" s="259">
        <v>60</v>
      </c>
      <c r="I15" s="246">
        <f t="shared" si="5"/>
        <v>14.577380952380953</v>
      </c>
      <c r="J15" s="262" t="s">
        <v>238</v>
      </c>
      <c r="K15" s="308"/>
      <c r="L15" s="309"/>
      <c r="M15" s="274"/>
    </row>
    <row r="16" spans="1:13" x14ac:dyDescent="0.25">
      <c r="A16" s="598"/>
      <c r="B16" s="602"/>
      <c r="C16" s="603"/>
      <c r="D16" s="310" t="s">
        <v>282</v>
      </c>
      <c r="E16" s="311">
        <v>2449</v>
      </c>
      <c r="F16" s="280">
        <f t="shared" si="3"/>
        <v>14.577380952380953</v>
      </c>
      <c r="G16" s="280">
        <f t="shared" si="4"/>
        <v>0.2429563492063492</v>
      </c>
      <c r="H16" s="259">
        <v>60</v>
      </c>
      <c r="I16" s="246">
        <f t="shared" si="5"/>
        <v>14.577380952380953</v>
      </c>
      <c r="J16" s="262" t="s">
        <v>238</v>
      </c>
    </row>
    <row r="17" spans="1:12" x14ac:dyDescent="0.25">
      <c r="A17" s="598"/>
      <c r="B17" s="602"/>
      <c r="C17" s="603"/>
      <c r="D17" s="310" t="s">
        <v>282</v>
      </c>
      <c r="E17" s="311">
        <v>2449</v>
      </c>
      <c r="F17" s="280">
        <f t="shared" si="3"/>
        <v>14.577380952380953</v>
      </c>
      <c r="G17" s="280">
        <f t="shared" si="4"/>
        <v>0.2429563492063492</v>
      </c>
      <c r="H17" s="259">
        <v>60</v>
      </c>
      <c r="I17" s="246">
        <f t="shared" si="5"/>
        <v>14.577380952380953</v>
      </c>
      <c r="J17" s="262" t="s">
        <v>238</v>
      </c>
    </row>
    <row r="18" spans="1:12" x14ac:dyDescent="0.25">
      <c r="A18" s="599"/>
      <c r="B18" s="604"/>
      <c r="C18" s="605"/>
      <c r="D18" s="310" t="s">
        <v>282</v>
      </c>
      <c r="E18" s="311">
        <v>2449</v>
      </c>
      <c r="F18" s="280">
        <f t="shared" si="3"/>
        <v>14.577380952380953</v>
      </c>
      <c r="G18" s="280">
        <f t="shared" si="4"/>
        <v>0.2429563492063492</v>
      </c>
      <c r="H18" s="259">
        <v>60</v>
      </c>
      <c r="I18" s="246">
        <f t="shared" si="5"/>
        <v>14.577380952380953</v>
      </c>
      <c r="J18" s="262" t="s">
        <v>238</v>
      </c>
    </row>
    <row r="19" spans="1:12" x14ac:dyDescent="0.25">
      <c r="H19" s="314"/>
    </row>
    <row r="20" spans="1:12" x14ac:dyDescent="0.25">
      <c r="H20" s="314"/>
    </row>
    <row r="21" spans="1:12" x14ac:dyDescent="0.25">
      <c r="A21" s="273" t="s">
        <v>263</v>
      </c>
      <c r="B21" s="274"/>
    </row>
    <row r="22" spans="1:12" x14ac:dyDescent="0.25">
      <c r="A22" s="305" t="s">
        <v>1174</v>
      </c>
      <c r="B22" s="274"/>
    </row>
    <row r="23" spans="1:12" ht="63" x14ac:dyDescent="0.25">
      <c r="E23" s="276" t="s">
        <v>148</v>
      </c>
      <c r="F23" s="276" t="s">
        <v>250</v>
      </c>
      <c r="G23" s="276" t="s">
        <v>251</v>
      </c>
      <c r="H23" s="276" t="s">
        <v>252</v>
      </c>
      <c r="I23" s="276" t="s">
        <v>13</v>
      </c>
      <c r="J23" s="277"/>
    </row>
    <row r="24" spans="1:12" x14ac:dyDescent="0.25">
      <c r="A24" s="597">
        <v>1100</v>
      </c>
      <c r="B24" s="606" t="s">
        <v>285</v>
      </c>
      <c r="C24" s="607"/>
      <c r="D24" s="310" t="s">
        <v>280</v>
      </c>
      <c r="E24" s="311">
        <v>1819</v>
      </c>
      <c r="F24" s="280">
        <f>E24/21/8</f>
        <v>10.827380952380953</v>
      </c>
      <c r="G24" s="280">
        <f>F24/60</f>
        <v>0.1804563492063492</v>
      </c>
      <c r="H24" s="259">
        <v>45</v>
      </c>
      <c r="I24" s="246">
        <f>H24*G24</f>
        <v>8.1205357142857135</v>
      </c>
      <c r="J24" s="262" t="s">
        <v>238</v>
      </c>
      <c r="K24" s="287">
        <f>SUM(I24:I32)</f>
        <v>80.243898809523799</v>
      </c>
      <c r="L24" s="202" t="s">
        <v>262</v>
      </c>
    </row>
    <row r="25" spans="1:12" ht="31.5" x14ac:dyDescent="0.25">
      <c r="A25" s="598"/>
      <c r="B25" s="608"/>
      <c r="C25" s="609"/>
      <c r="D25" s="310" t="s">
        <v>254</v>
      </c>
      <c r="E25" s="311">
        <v>1437</v>
      </c>
      <c r="F25" s="280">
        <f t="shared" ref="F25:F26" si="6">E25/21/8</f>
        <v>8.5535714285714288</v>
      </c>
      <c r="G25" s="280">
        <f t="shared" ref="G25:G26" si="7">F25/60</f>
        <v>0.1425595238095238</v>
      </c>
      <c r="H25" s="259">
        <v>33</v>
      </c>
      <c r="I25" s="246">
        <f t="shared" ref="I25:I26" si="8">H25*G25</f>
        <v>4.7044642857142858</v>
      </c>
      <c r="J25" s="262" t="s">
        <v>238</v>
      </c>
      <c r="K25" s="211"/>
      <c r="L25" s="202"/>
    </row>
    <row r="26" spans="1:12" ht="31.5" x14ac:dyDescent="0.25">
      <c r="A26" s="599"/>
      <c r="B26" s="610"/>
      <c r="C26" s="611"/>
      <c r="D26" s="310" t="s">
        <v>279</v>
      </c>
      <c r="E26" s="311">
        <v>1437</v>
      </c>
      <c r="F26" s="280">
        <f t="shared" si="6"/>
        <v>8.5535714285714288</v>
      </c>
      <c r="G26" s="280">
        <f t="shared" si="7"/>
        <v>0.1425595238095238</v>
      </c>
      <c r="H26" s="259">
        <v>32.5</v>
      </c>
      <c r="I26" s="246">
        <f t="shared" si="8"/>
        <v>4.6331845238095237</v>
      </c>
      <c r="J26" s="262" t="s">
        <v>238</v>
      </c>
      <c r="K26" s="211"/>
      <c r="L26" s="202"/>
    </row>
    <row r="27" spans="1:12" x14ac:dyDescent="0.25">
      <c r="A27" s="597">
        <v>1100</v>
      </c>
      <c r="B27" s="600" t="s">
        <v>284</v>
      </c>
      <c r="C27" s="601"/>
      <c r="D27" s="310" t="s">
        <v>280</v>
      </c>
      <c r="E27" s="311">
        <v>1819</v>
      </c>
      <c r="F27" s="280">
        <f>E27/21/8</f>
        <v>10.827380952380953</v>
      </c>
      <c r="G27" s="280">
        <f>F27/60</f>
        <v>0.1804563492063492</v>
      </c>
      <c r="H27" s="259">
        <v>45</v>
      </c>
      <c r="I27" s="246">
        <f>H27*G27</f>
        <v>8.1205357142857135</v>
      </c>
      <c r="J27" s="262" t="s">
        <v>238</v>
      </c>
    </row>
    <row r="28" spans="1:12" x14ac:dyDescent="0.25">
      <c r="A28" s="598"/>
      <c r="B28" s="602"/>
      <c r="C28" s="603"/>
      <c r="D28" s="312" t="s">
        <v>265</v>
      </c>
      <c r="E28" s="311">
        <v>2449</v>
      </c>
      <c r="F28" s="280">
        <f t="shared" ref="F28:F32" si="9">E28/21/8</f>
        <v>14.577380952380953</v>
      </c>
      <c r="G28" s="280">
        <f t="shared" ref="G28:G32" si="10">F28/60</f>
        <v>0.2429563492063492</v>
      </c>
      <c r="H28" s="259">
        <v>45</v>
      </c>
      <c r="I28" s="246">
        <f t="shared" ref="I28:I32" si="11">H28*G28</f>
        <v>10.933035714285714</v>
      </c>
      <c r="J28" s="262" t="s">
        <v>238</v>
      </c>
    </row>
    <row r="29" spans="1:12" x14ac:dyDescent="0.25">
      <c r="A29" s="598"/>
      <c r="B29" s="602"/>
      <c r="C29" s="603"/>
      <c r="D29" s="310" t="s">
        <v>282</v>
      </c>
      <c r="E29" s="311">
        <v>2449</v>
      </c>
      <c r="F29" s="280">
        <f t="shared" si="9"/>
        <v>14.577380952380953</v>
      </c>
      <c r="G29" s="280">
        <f t="shared" si="10"/>
        <v>0.2429563492063492</v>
      </c>
      <c r="H29" s="259">
        <v>45</v>
      </c>
      <c r="I29" s="246">
        <f t="shared" si="11"/>
        <v>10.933035714285714</v>
      </c>
      <c r="J29" s="262" t="s">
        <v>238</v>
      </c>
      <c r="K29" s="308"/>
      <c r="L29" s="309"/>
    </row>
    <row r="30" spans="1:12" x14ac:dyDescent="0.25">
      <c r="A30" s="598"/>
      <c r="B30" s="602"/>
      <c r="C30" s="603"/>
      <c r="D30" s="310" t="s">
        <v>282</v>
      </c>
      <c r="E30" s="311">
        <v>2449</v>
      </c>
      <c r="F30" s="280">
        <f t="shared" si="9"/>
        <v>14.577380952380953</v>
      </c>
      <c r="G30" s="280">
        <f t="shared" si="10"/>
        <v>0.2429563492063492</v>
      </c>
      <c r="H30" s="259">
        <v>45</v>
      </c>
      <c r="I30" s="246">
        <f t="shared" si="11"/>
        <v>10.933035714285714</v>
      </c>
      <c r="J30" s="262" t="s">
        <v>238</v>
      </c>
    </row>
    <row r="31" spans="1:12" x14ac:dyDescent="0.25">
      <c r="A31" s="598"/>
      <c r="B31" s="602"/>
      <c r="C31" s="603"/>
      <c r="D31" s="310" t="s">
        <v>282</v>
      </c>
      <c r="E31" s="311">
        <v>2449</v>
      </c>
      <c r="F31" s="280">
        <f t="shared" si="9"/>
        <v>14.577380952380953</v>
      </c>
      <c r="G31" s="280">
        <f t="shared" si="10"/>
        <v>0.2429563492063492</v>
      </c>
      <c r="H31" s="259">
        <v>45</v>
      </c>
      <c r="I31" s="246">
        <f t="shared" si="11"/>
        <v>10.933035714285714</v>
      </c>
      <c r="J31" s="262" t="s">
        <v>238</v>
      </c>
    </row>
    <row r="32" spans="1:12" x14ac:dyDescent="0.25">
      <c r="A32" s="599"/>
      <c r="B32" s="604"/>
      <c r="C32" s="605"/>
      <c r="D32" s="310" t="s">
        <v>282</v>
      </c>
      <c r="E32" s="311">
        <v>2449</v>
      </c>
      <c r="F32" s="280">
        <f t="shared" si="9"/>
        <v>14.577380952380953</v>
      </c>
      <c r="G32" s="280">
        <f t="shared" si="10"/>
        <v>0.2429563492063492</v>
      </c>
      <c r="H32" s="259">
        <v>45</v>
      </c>
      <c r="I32" s="246">
        <f t="shared" si="11"/>
        <v>10.933035714285714</v>
      </c>
      <c r="J32" s="262" t="s">
        <v>238</v>
      </c>
    </row>
    <row r="33" spans="1:12" x14ac:dyDescent="0.25">
      <c r="H33" s="314"/>
    </row>
    <row r="34" spans="1:12" x14ac:dyDescent="0.25">
      <c r="H34" s="314"/>
    </row>
    <row r="35" spans="1:12" x14ac:dyDescent="0.25">
      <c r="A35" s="273" t="s">
        <v>263</v>
      </c>
      <c r="B35" s="274"/>
    </row>
    <row r="36" spans="1:12" x14ac:dyDescent="0.25">
      <c r="A36" s="306" t="s">
        <v>1175</v>
      </c>
      <c r="B36" s="306"/>
      <c r="C36" s="306"/>
    </row>
    <row r="37" spans="1:12" ht="63" x14ac:dyDescent="0.25">
      <c r="E37" s="276" t="s">
        <v>148</v>
      </c>
      <c r="F37" s="276" t="s">
        <v>250</v>
      </c>
      <c r="G37" s="276" t="s">
        <v>251</v>
      </c>
      <c r="H37" s="276" t="s">
        <v>252</v>
      </c>
      <c r="I37" s="276" t="s">
        <v>13</v>
      </c>
      <c r="J37" s="277"/>
    </row>
    <row r="38" spans="1:12" x14ac:dyDescent="0.25">
      <c r="A38" s="597">
        <v>1100</v>
      </c>
      <c r="B38" s="606" t="s">
        <v>286</v>
      </c>
      <c r="C38" s="607"/>
      <c r="D38" s="310" t="s">
        <v>280</v>
      </c>
      <c r="E38" s="311">
        <v>1819</v>
      </c>
      <c r="F38" s="280">
        <f>E38/21/8</f>
        <v>10.827380952380953</v>
      </c>
      <c r="G38" s="280">
        <f>F38/60</f>
        <v>0.1804563492063492</v>
      </c>
      <c r="H38" s="259">
        <v>35.61</v>
      </c>
      <c r="I38" s="246">
        <f>H38*G38</f>
        <v>6.4260505952380953</v>
      </c>
      <c r="J38" s="262" t="s">
        <v>238</v>
      </c>
      <c r="K38" s="287">
        <f>SUM(I38:I46)</f>
        <v>56.836764880952373</v>
      </c>
      <c r="L38" s="202" t="s">
        <v>262</v>
      </c>
    </row>
    <row r="39" spans="1:12" ht="31.5" x14ac:dyDescent="0.25">
      <c r="A39" s="598"/>
      <c r="B39" s="608"/>
      <c r="C39" s="609"/>
      <c r="D39" s="310" t="s">
        <v>254</v>
      </c>
      <c r="E39" s="311">
        <v>1437</v>
      </c>
      <c r="F39" s="280">
        <f t="shared" ref="F39:F40" si="12">E39/21/8</f>
        <v>8.5535714285714288</v>
      </c>
      <c r="G39" s="280">
        <f t="shared" ref="G39:G40" si="13">F39/60</f>
        <v>0.1425595238095238</v>
      </c>
      <c r="H39" s="259">
        <v>30</v>
      </c>
      <c r="I39" s="246">
        <f t="shared" ref="I39:I40" si="14">H39*G39</f>
        <v>4.2767857142857144</v>
      </c>
      <c r="J39" s="262" t="s">
        <v>238</v>
      </c>
      <c r="K39" s="211"/>
      <c r="L39" s="202"/>
    </row>
    <row r="40" spans="1:12" ht="31.5" x14ac:dyDescent="0.25">
      <c r="A40" s="599"/>
      <c r="B40" s="610"/>
      <c r="C40" s="611"/>
      <c r="D40" s="310" t="s">
        <v>279</v>
      </c>
      <c r="E40" s="311">
        <v>1437</v>
      </c>
      <c r="F40" s="280">
        <f t="shared" si="12"/>
        <v>8.5535714285714288</v>
      </c>
      <c r="G40" s="280">
        <f t="shared" si="13"/>
        <v>0.1425595238095238</v>
      </c>
      <c r="H40" s="259">
        <v>30</v>
      </c>
      <c r="I40" s="246">
        <f t="shared" si="14"/>
        <v>4.2767857142857144</v>
      </c>
      <c r="J40" s="262" t="s">
        <v>238</v>
      </c>
      <c r="K40" s="211"/>
      <c r="L40" s="202"/>
    </row>
    <row r="41" spans="1:12" x14ac:dyDescent="0.25">
      <c r="A41" s="597">
        <v>1100</v>
      </c>
      <c r="B41" s="600" t="s">
        <v>287</v>
      </c>
      <c r="C41" s="601"/>
      <c r="D41" s="310" t="s">
        <v>280</v>
      </c>
      <c r="E41" s="311">
        <v>1819</v>
      </c>
      <c r="F41" s="280">
        <f>E41/21/8</f>
        <v>10.827380952380953</v>
      </c>
      <c r="G41" s="280">
        <f>F41/60</f>
        <v>0.1804563492063492</v>
      </c>
      <c r="H41" s="259">
        <v>30</v>
      </c>
      <c r="I41" s="246">
        <f>H41*G41</f>
        <v>5.4136904761904763</v>
      </c>
      <c r="J41" s="262" t="s">
        <v>238</v>
      </c>
    </row>
    <row r="42" spans="1:12" x14ac:dyDescent="0.25">
      <c r="A42" s="598"/>
      <c r="B42" s="602"/>
      <c r="C42" s="603"/>
      <c r="D42" s="312" t="s">
        <v>265</v>
      </c>
      <c r="E42" s="311">
        <v>2449</v>
      </c>
      <c r="F42" s="280">
        <f t="shared" ref="F42:F46" si="15">E42/21/8</f>
        <v>14.577380952380953</v>
      </c>
      <c r="G42" s="280">
        <f t="shared" ref="G42:G46" si="16">F42/60</f>
        <v>0.2429563492063492</v>
      </c>
      <c r="H42" s="259">
        <v>30</v>
      </c>
      <c r="I42" s="246">
        <f t="shared" ref="I42:I46" si="17">H42*G42</f>
        <v>7.2886904761904763</v>
      </c>
      <c r="J42" s="262" t="s">
        <v>238</v>
      </c>
    </row>
    <row r="43" spans="1:12" x14ac:dyDescent="0.25">
      <c r="A43" s="598"/>
      <c r="B43" s="602"/>
      <c r="C43" s="603"/>
      <c r="D43" s="310" t="s">
        <v>282</v>
      </c>
      <c r="E43" s="311">
        <v>2449</v>
      </c>
      <c r="F43" s="280">
        <f t="shared" si="15"/>
        <v>14.577380952380953</v>
      </c>
      <c r="G43" s="280">
        <f t="shared" si="16"/>
        <v>0.2429563492063492</v>
      </c>
      <c r="H43" s="259">
        <v>30</v>
      </c>
      <c r="I43" s="246">
        <f t="shared" si="17"/>
        <v>7.2886904761904763</v>
      </c>
      <c r="J43" s="262" t="s">
        <v>238</v>
      </c>
      <c r="K43" s="308"/>
      <c r="L43" s="309"/>
    </row>
    <row r="44" spans="1:12" x14ac:dyDescent="0.25">
      <c r="A44" s="598"/>
      <c r="B44" s="602"/>
      <c r="C44" s="603"/>
      <c r="D44" s="310" t="s">
        <v>282</v>
      </c>
      <c r="E44" s="311">
        <v>2449</v>
      </c>
      <c r="F44" s="280">
        <f t="shared" si="15"/>
        <v>14.577380952380953</v>
      </c>
      <c r="G44" s="280">
        <f t="shared" si="16"/>
        <v>0.2429563492063492</v>
      </c>
      <c r="H44" s="259">
        <v>30</v>
      </c>
      <c r="I44" s="246">
        <f t="shared" si="17"/>
        <v>7.2886904761904763</v>
      </c>
      <c r="J44" s="262" t="s">
        <v>238</v>
      </c>
    </row>
    <row r="45" spans="1:12" x14ac:dyDescent="0.25">
      <c r="A45" s="598"/>
      <c r="B45" s="602"/>
      <c r="C45" s="603"/>
      <c r="D45" s="310" t="s">
        <v>282</v>
      </c>
      <c r="E45" s="311">
        <v>2449</v>
      </c>
      <c r="F45" s="280">
        <f t="shared" si="15"/>
        <v>14.577380952380953</v>
      </c>
      <c r="G45" s="280">
        <f t="shared" si="16"/>
        <v>0.2429563492063492</v>
      </c>
      <c r="H45" s="259">
        <v>30</v>
      </c>
      <c r="I45" s="246">
        <f t="shared" si="17"/>
        <v>7.2886904761904763</v>
      </c>
      <c r="J45" s="262" t="s">
        <v>238</v>
      </c>
    </row>
    <row r="46" spans="1:12" x14ac:dyDescent="0.25">
      <c r="A46" s="599"/>
      <c r="B46" s="604"/>
      <c r="C46" s="605"/>
      <c r="D46" s="310" t="s">
        <v>282</v>
      </c>
      <c r="E46" s="311">
        <v>2449</v>
      </c>
      <c r="F46" s="280">
        <f t="shared" si="15"/>
        <v>14.577380952380953</v>
      </c>
      <c r="G46" s="280">
        <f t="shared" si="16"/>
        <v>0.2429563492063492</v>
      </c>
      <c r="H46" s="259">
        <v>30</v>
      </c>
      <c r="I46" s="246">
        <f t="shared" si="17"/>
        <v>7.2886904761904763</v>
      </c>
      <c r="J46" s="262" t="s">
        <v>238</v>
      </c>
    </row>
    <row r="49" spans="1:12" x14ac:dyDescent="0.25">
      <c r="A49" s="273" t="s">
        <v>263</v>
      </c>
      <c r="B49" s="274"/>
    </row>
    <row r="50" spans="1:12" x14ac:dyDescent="0.25">
      <c r="A50" s="305" t="s">
        <v>1176</v>
      </c>
      <c r="B50" s="306"/>
      <c r="C50" s="306"/>
    </row>
    <row r="51" spans="1:12" ht="63" x14ac:dyDescent="0.25">
      <c r="E51" s="276" t="s">
        <v>148</v>
      </c>
      <c r="F51" s="276" t="s">
        <v>250</v>
      </c>
      <c r="G51" s="276" t="s">
        <v>251</v>
      </c>
      <c r="H51" s="276" t="s">
        <v>252</v>
      </c>
      <c r="I51" s="276" t="s">
        <v>13</v>
      </c>
      <c r="J51" s="277"/>
    </row>
    <row r="52" spans="1:12" x14ac:dyDescent="0.25">
      <c r="A52" s="616">
        <v>1100</v>
      </c>
      <c r="B52" s="617" t="s">
        <v>288</v>
      </c>
      <c r="C52" s="617"/>
      <c r="D52" s="207" t="s">
        <v>280</v>
      </c>
      <c r="E52" s="618">
        <v>1685.04</v>
      </c>
      <c r="F52" s="612">
        <f>E52/21/8</f>
        <v>10.029999999999999</v>
      </c>
      <c r="G52" s="612">
        <f>F52/60</f>
        <v>0.16716666666666666</v>
      </c>
      <c r="H52" s="614">
        <v>60</v>
      </c>
      <c r="I52" s="549">
        <f>H52*G52</f>
        <v>10.029999999999999</v>
      </c>
      <c r="J52" s="262" t="s">
        <v>238</v>
      </c>
      <c r="K52" s="287">
        <f>SUM(I52:I53)</f>
        <v>10.029999999999999</v>
      </c>
      <c r="L52" s="202" t="s">
        <v>262</v>
      </c>
    </row>
    <row r="53" spans="1:12" ht="31.5" x14ac:dyDescent="0.25">
      <c r="A53" s="616"/>
      <c r="B53" s="617"/>
      <c r="C53" s="617"/>
      <c r="D53" s="207" t="s">
        <v>254</v>
      </c>
      <c r="E53" s="619"/>
      <c r="F53" s="613"/>
      <c r="G53" s="613"/>
      <c r="H53" s="615"/>
      <c r="I53" s="551"/>
      <c r="J53" s="262" t="s">
        <v>238</v>
      </c>
      <c r="K53" s="211"/>
      <c r="L53" s="202"/>
    </row>
    <row r="54" spans="1:12" x14ac:dyDescent="0.25">
      <c r="F54" s="209"/>
    </row>
    <row r="56" spans="1:12" x14ac:dyDescent="0.25">
      <c r="F56" s="315"/>
      <c r="G56" s="209"/>
    </row>
  </sheetData>
  <mergeCells count="19">
    <mergeCell ref="F52:F53"/>
    <mergeCell ref="G52:G53"/>
    <mergeCell ref="H52:H53"/>
    <mergeCell ref="I52:I53"/>
    <mergeCell ref="A52:A53"/>
    <mergeCell ref="B52:C53"/>
    <mergeCell ref="E52:E53"/>
    <mergeCell ref="A27:A32"/>
    <mergeCell ref="B27:C32"/>
    <mergeCell ref="A38:A40"/>
    <mergeCell ref="B38:C40"/>
    <mergeCell ref="A41:A46"/>
    <mergeCell ref="B41:C46"/>
    <mergeCell ref="A10:A12"/>
    <mergeCell ref="B13:C18"/>
    <mergeCell ref="A13:A18"/>
    <mergeCell ref="A24:A26"/>
    <mergeCell ref="B24:C26"/>
    <mergeCell ref="B10:C12"/>
  </mergeCells>
  <pageMargins left="0.7" right="0.7" top="0.75" bottom="0.75" header="0.3" footer="0.3"/>
  <pageSetup paperSize="9" orientation="portrait" verticalDpi="20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9E54A-4AFC-41FC-8B8D-B1A2F4A8E3F9}">
  <dimension ref="A1:J33"/>
  <sheetViews>
    <sheetView zoomScale="80" zoomScaleNormal="80" workbookViewId="0">
      <selection activeCell="E28" sqref="E28"/>
    </sheetView>
  </sheetViews>
  <sheetFormatPr defaultColWidth="8.7109375" defaultRowHeight="15" x14ac:dyDescent="0.25"/>
  <cols>
    <col min="1" max="1" width="6.42578125" customWidth="1"/>
    <col min="2" max="2" width="71.5703125" customWidth="1"/>
    <col min="4" max="4" width="9.42578125" style="35" customWidth="1"/>
    <col min="5" max="5" width="58.42578125" customWidth="1"/>
    <col min="6" max="6" width="11.7109375" customWidth="1"/>
    <col min="7" max="7" width="32.5703125" customWidth="1"/>
    <col min="8" max="8" width="16.42578125" customWidth="1"/>
    <col min="9" max="9" width="8.7109375" customWidth="1"/>
  </cols>
  <sheetData>
    <row r="1" spans="1:10" ht="16.350000000000001" customHeight="1" x14ac:dyDescent="0.25">
      <c r="B1" s="135" t="s">
        <v>177</v>
      </c>
      <c r="C1" s="125">
        <v>2</v>
      </c>
      <c r="D1" s="145"/>
      <c r="E1" s="148" t="s">
        <v>192</v>
      </c>
    </row>
    <row r="2" spans="1:10" x14ac:dyDescent="0.25">
      <c r="G2" s="136"/>
      <c r="H2" s="136"/>
      <c r="I2" s="136" t="s">
        <v>31</v>
      </c>
      <c r="J2" s="136" t="s">
        <v>1</v>
      </c>
    </row>
    <row r="3" spans="1:10" ht="30" x14ac:dyDescent="0.25">
      <c r="A3" s="123" t="s">
        <v>40</v>
      </c>
      <c r="B3" s="137" t="s">
        <v>186</v>
      </c>
      <c r="C3" s="125">
        <f>10*12*2</f>
        <v>240</v>
      </c>
      <c r="D3" s="125"/>
      <c r="E3" s="138" t="s">
        <v>196</v>
      </c>
      <c r="F3" s="107">
        <f>J3+J4</f>
        <v>0.19770189999999999</v>
      </c>
      <c r="G3" s="126" t="s">
        <v>197</v>
      </c>
      <c r="H3" s="136">
        <v>0.12354</v>
      </c>
      <c r="I3" s="136">
        <f>H3*0.21</f>
        <v>2.5943399999999998E-2</v>
      </c>
      <c r="J3" s="136">
        <f>H3*1.21</f>
        <v>0.14948339999999999</v>
      </c>
    </row>
    <row r="4" spans="1:10" ht="45" x14ac:dyDescent="0.25">
      <c r="A4" s="123" t="s">
        <v>107</v>
      </c>
      <c r="B4" s="127" t="s">
        <v>199</v>
      </c>
      <c r="C4" s="125">
        <f>200*12</f>
        <v>2400</v>
      </c>
      <c r="D4" s="125"/>
      <c r="E4" s="139" t="s">
        <v>188</v>
      </c>
      <c r="F4" s="107">
        <v>11</v>
      </c>
      <c r="G4" s="126" t="s">
        <v>198</v>
      </c>
      <c r="H4" s="136">
        <v>3.9849999999999997E-2</v>
      </c>
      <c r="I4" s="136">
        <f>H4*0.21</f>
        <v>8.3684999999999992E-3</v>
      </c>
      <c r="J4" s="136">
        <f>H4*1.21</f>
        <v>4.8218499999999997E-2</v>
      </c>
    </row>
    <row r="5" spans="1:10" x14ac:dyDescent="0.25">
      <c r="A5" s="123" t="s">
        <v>108</v>
      </c>
      <c r="B5" s="137" t="s">
        <v>184</v>
      </c>
      <c r="C5" s="125">
        <f>2854+2694</f>
        <v>5548</v>
      </c>
      <c r="D5" s="125"/>
      <c r="E5" s="139" t="s">
        <v>183</v>
      </c>
      <c r="F5" s="128">
        <f>F4*F3</f>
        <v>2.1747208999999996</v>
      </c>
    </row>
    <row r="6" spans="1:10" ht="30" x14ac:dyDescent="0.25">
      <c r="A6" s="123" t="s">
        <v>109</v>
      </c>
      <c r="B6" s="140" t="s">
        <v>185</v>
      </c>
      <c r="C6" s="125">
        <v>50</v>
      </c>
      <c r="D6" s="125"/>
      <c r="E6" s="129" t="s">
        <v>189</v>
      </c>
      <c r="F6" s="107">
        <f>20*4*2</f>
        <v>160</v>
      </c>
      <c r="G6" s="58"/>
    </row>
    <row r="7" spans="1:10" ht="30" x14ac:dyDescent="0.25">
      <c r="A7" s="123" t="s">
        <v>110</v>
      </c>
      <c r="B7" s="141" t="s">
        <v>182</v>
      </c>
      <c r="C7" s="130">
        <f>F9</f>
        <v>4175.4641279999996</v>
      </c>
      <c r="D7" s="132"/>
      <c r="E7" s="129" t="s">
        <v>190</v>
      </c>
      <c r="F7" s="107">
        <f>F6*12</f>
        <v>1920</v>
      </c>
    </row>
    <row r="8" spans="1:10" ht="30" x14ac:dyDescent="0.25">
      <c r="A8" s="123" t="s">
        <v>113</v>
      </c>
      <c r="B8" s="131" t="s">
        <v>187</v>
      </c>
      <c r="C8" s="132">
        <f>0.056*24*365*F3*2</f>
        <v>193.96928812799999</v>
      </c>
      <c r="D8" s="132"/>
      <c r="E8" s="110"/>
      <c r="F8" s="110"/>
    </row>
    <row r="9" spans="1:10" x14ac:dyDescent="0.25">
      <c r="A9" s="123" t="s">
        <v>114</v>
      </c>
      <c r="B9" s="151" t="s">
        <v>193</v>
      </c>
      <c r="C9" s="152">
        <v>4104.13</v>
      </c>
      <c r="D9" s="110"/>
      <c r="E9" s="139" t="s">
        <v>178</v>
      </c>
      <c r="F9" s="130">
        <f>F7*F5</f>
        <v>4175.4641279999996</v>
      </c>
    </row>
    <row r="10" spans="1:10" x14ac:dyDescent="0.25">
      <c r="A10" s="123"/>
      <c r="B10" s="122"/>
      <c r="C10" s="124"/>
      <c r="E10" s="110" t="s">
        <v>191</v>
      </c>
      <c r="F10" s="109">
        <f>F7*60</f>
        <v>115200</v>
      </c>
    </row>
    <row r="11" spans="1:10" ht="15.75" thickBot="1" x14ac:dyDescent="0.3"/>
    <row r="12" spans="1:10" ht="15.75" thickBot="1" x14ac:dyDescent="0.3">
      <c r="B12" s="142" t="s">
        <v>194</v>
      </c>
      <c r="C12" s="143">
        <f>SUM(C3:C10)</f>
        <v>16711.563416128</v>
      </c>
      <c r="D12" s="145"/>
    </row>
    <row r="13" spans="1:10" x14ac:dyDescent="0.25">
      <c r="B13" s="14"/>
      <c r="E13" s="153" t="s">
        <v>146</v>
      </c>
      <c r="F13" s="154"/>
      <c r="G13" s="154"/>
      <c r="H13" s="155"/>
    </row>
    <row r="14" spans="1:10" x14ac:dyDescent="0.25">
      <c r="B14" s="133" t="s">
        <v>195</v>
      </c>
      <c r="C14">
        <f>F10</f>
        <v>115200</v>
      </c>
      <c r="E14" s="115"/>
      <c r="F14" s="115" t="s">
        <v>147</v>
      </c>
      <c r="G14" s="115" t="s">
        <v>148</v>
      </c>
      <c r="H14" s="116" t="s">
        <v>149</v>
      </c>
    </row>
    <row r="15" spans="1:10" x14ac:dyDescent="0.25">
      <c r="B15" s="144" t="s">
        <v>179</v>
      </c>
      <c r="C15" s="134">
        <f>ROUND(C12/F10,2)</f>
        <v>0.15</v>
      </c>
      <c r="D15" s="146"/>
      <c r="E15" s="50" t="s">
        <v>163</v>
      </c>
      <c r="F15" s="149">
        <v>0.1</v>
      </c>
      <c r="G15" s="117">
        <v>1746</v>
      </c>
      <c r="H15" s="116">
        <f>ROUND(F15*G15,2)</f>
        <v>174.6</v>
      </c>
    </row>
    <row r="16" spans="1:10" x14ac:dyDescent="0.25">
      <c r="B16" s="144" t="s">
        <v>180</v>
      </c>
      <c r="C16" s="36">
        <f>ROUND(C15*1.21,2)</f>
        <v>0.18</v>
      </c>
      <c r="D16" s="147"/>
      <c r="E16" s="24" t="s">
        <v>160</v>
      </c>
      <c r="F16" s="150">
        <v>0.01</v>
      </c>
      <c r="G16" s="24">
        <v>1150</v>
      </c>
      <c r="H16" s="116">
        <f>ROUND(F16*G16,2)</f>
        <v>11.5</v>
      </c>
    </row>
    <row r="17" spans="2:8" x14ac:dyDescent="0.25">
      <c r="E17" s="24" t="s">
        <v>150</v>
      </c>
      <c r="F17" s="150">
        <v>0.02</v>
      </c>
      <c r="G17" s="24">
        <v>1240</v>
      </c>
      <c r="H17" s="116">
        <f>ROUND(F17*G17,2)</f>
        <v>24.8</v>
      </c>
    </row>
    <row r="18" spans="2:8" x14ac:dyDescent="0.25">
      <c r="B18" s="66" t="s">
        <v>181</v>
      </c>
      <c r="C18" s="24">
        <f>C16*F10</f>
        <v>20736</v>
      </c>
      <c r="E18" s="24" t="s">
        <v>162</v>
      </c>
      <c r="F18" s="150">
        <v>0.01</v>
      </c>
      <c r="G18" s="24">
        <v>1819</v>
      </c>
      <c r="H18" s="116">
        <f>ROUND(F18*G18,2)</f>
        <v>18.190000000000001</v>
      </c>
    </row>
    <row r="19" spans="2:8" x14ac:dyDescent="0.25">
      <c r="E19" s="587" t="s">
        <v>151</v>
      </c>
      <c r="F19" s="588"/>
      <c r="G19" s="589"/>
      <c r="H19" s="118">
        <f>SUM(H15:H18)</f>
        <v>229.09</v>
      </c>
    </row>
    <row r="20" spans="2:8" x14ac:dyDescent="0.25">
      <c r="D20"/>
      <c r="E20" s="590" t="s">
        <v>152</v>
      </c>
      <c r="F20" s="590"/>
      <c r="G20" s="590"/>
      <c r="H20" s="116">
        <f>H19*0.2</f>
        <v>45.818000000000005</v>
      </c>
    </row>
    <row r="21" spans="2:8" x14ac:dyDescent="0.25">
      <c r="D21"/>
      <c r="E21" s="590" t="s">
        <v>132</v>
      </c>
      <c r="F21" s="590"/>
      <c r="G21" s="590"/>
      <c r="H21" s="116">
        <f>H19+H20</f>
        <v>274.90800000000002</v>
      </c>
    </row>
    <row r="22" spans="2:8" x14ac:dyDescent="0.25">
      <c r="D22"/>
      <c r="E22" s="591" t="s">
        <v>153</v>
      </c>
      <c r="F22" s="591"/>
      <c r="G22" s="591"/>
      <c r="H22" s="119">
        <f>H21*12</f>
        <v>3298.8960000000002</v>
      </c>
    </row>
    <row r="23" spans="2:8" x14ac:dyDescent="0.25">
      <c r="D23"/>
      <c r="E23" s="620" t="s">
        <v>154</v>
      </c>
      <c r="F23" s="621"/>
      <c r="G23" s="622"/>
      <c r="H23" s="120">
        <f>H19*0.5</f>
        <v>114.545</v>
      </c>
    </row>
    <row r="24" spans="2:8" x14ac:dyDescent="0.25">
      <c r="D24"/>
      <c r="E24" s="591" t="s">
        <v>155</v>
      </c>
      <c r="F24" s="591"/>
      <c r="G24" s="591"/>
      <c r="H24" s="119">
        <f>(H22+H23)*0.2359</f>
        <v>805.23073190000002</v>
      </c>
    </row>
    <row r="25" spans="2:8" x14ac:dyDescent="0.25">
      <c r="D25"/>
      <c r="E25" s="592" t="s">
        <v>156</v>
      </c>
      <c r="F25" s="593"/>
      <c r="G25" s="594"/>
      <c r="H25" s="121">
        <f>H22+H24</f>
        <v>4104.1267318999999</v>
      </c>
    </row>
    <row r="26" spans="2:8" x14ac:dyDescent="0.25">
      <c r="D26"/>
    </row>
    <row r="27" spans="2:8" x14ac:dyDescent="0.25">
      <c r="D27"/>
    </row>
    <row r="28" spans="2:8" x14ac:dyDescent="0.25">
      <c r="D28"/>
      <c r="H28" s="156"/>
    </row>
    <row r="29" spans="2:8" x14ac:dyDescent="0.25">
      <c r="D29"/>
    </row>
    <row r="30" spans="2:8" x14ac:dyDescent="0.25">
      <c r="D30"/>
    </row>
    <row r="31" spans="2:8" x14ac:dyDescent="0.25">
      <c r="D31"/>
    </row>
    <row r="32" spans="2:8" x14ac:dyDescent="0.25">
      <c r="D32"/>
    </row>
    <row r="33" spans="4:4" x14ac:dyDescent="0.25">
      <c r="D33"/>
    </row>
  </sheetData>
  <mergeCells count="7">
    <mergeCell ref="E25:G25"/>
    <mergeCell ref="E19:G19"/>
    <mergeCell ref="E20:G20"/>
    <mergeCell ref="E21:G21"/>
    <mergeCell ref="E22:G22"/>
    <mergeCell ref="E23:G23"/>
    <mergeCell ref="E24:G2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C97E4-0A2A-440F-88CB-629A604548F9}">
  <dimension ref="A1:O10"/>
  <sheetViews>
    <sheetView workbookViewId="0">
      <selection activeCell="C14" sqref="C14"/>
    </sheetView>
  </sheetViews>
  <sheetFormatPr defaultRowHeight="15" x14ac:dyDescent="0.25"/>
  <cols>
    <col min="1" max="1" width="9.7109375" customWidth="1"/>
    <col min="2" max="2" width="30" customWidth="1"/>
    <col min="3" max="3" width="19.5703125" customWidth="1"/>
    <col min="4" max="4" width="12.5703125" customWidth="1"/>
    <col min="5" max="5" width="18" customWidth="1"/>
    <col min="6" max="6" width="14" customWidth="1"/>
    <col min="7" max="7" width="12.7109375" customWidth="1"/>
    <col min="8" max="8" width="11.42578125" bestFit="1" customWidth="1"/>
    <col min="10" max="10" width="14.42578125" customWidth="1"/>
    <col min="11" max="11" width="15" bestFit="1" customWidth="1"/>
  </cols>
  <sheetData>
    <row r="1" spans="1:15" ht="15.75" thickBot="1" x14ac:dyDescent="0.3">
      <c r="A1" s="1"/>
      <c r="B1" s="623" t="s">
        <v>142</v>
      </c>
      <c r="C1" s="623"/>
      <c r="D1" s="1"/>
      <c r="E1" s="1"/>
      <c r="F1" s="1"/>
      <c r="G1" s="1"/>
      <c r="I1" s="14"/>
      <c r="J1" s="14"/>
      <c r="K1" s="14"/>
      <c r="L1" s="14"/>
      <c r="M1" s="14"/>
      <c r="N1" s="14"/>
      <c r="O1" s="40"/>
    </row>
    <row r="2" spans="1:15" x14ac:dyDescent="0.25">
      <c r="A2" s="1"/>
      <c r="B2" s="1"/>
      <c r="C2" s="1"/>
      <c r="D2" s="1"/>
      <c r="E2" s="1"/>
      <c r="F2" s="1"/>
      <c r="G2" s="1"/>
    </row>
    <row r="3" spans="1:15" ht="45" x14ac:dyDescent="0.25">
      <c r="A3" s="2"/>
      <c r="B3" s="2"/>
      <c r="C3" s="3" t="s">
        <v>25</v>
      </c>
      <c r="D3" s="3" t="s">
        <v>29</v>
      </c>
      <c r="E3" s="3" t="s">
        <v>119</v>
      </c>
      <c r="F3" s="3" t="s">
        <v>121</v>
      </c>
      <c r="G3" s="42" t="s">
        <v>120</v>
      </c>
    </row>
    <row r="4" spans="1:15" x14ac:dyDescent="0.25">
      <c r="A4" s="2"/>
      <c r="B4" s="5" t="s">
        <v>1</v>
      </c>
      <c r="C4" s="520">
        <f>SUM(C5:C9)</f>
        <v>12815.15</v>
      </c>
      <c r="D4" s="2"/>
      <c r="E4" s="2"/>
      <c r="F4" s="2"/>
      <c r="G4" s="2"/>
    </row>
    <row r="5" spans="1:15" ht="30" x14ac:dyDescent="0.25">
      <c r="A5" s="7" t="s">
        <v>1178</v>
      </c>
      <c r="B5" s="519" t="s">
        <v>143</v>
      </c>
      <c r="C5" s="8">
        <v>10000</v>
      </c>
      <c r="D5" s="84">
        <v>0.6472</v>
      </c>
      <c r="E5" s="43">
        <f>E9*D5</f>
        <v>41324.937355435119</v>
      </c>
      <c r="F5" s="85">
        <f>ROUND(E5/C5,2)</f>
        <v>4.13</v>
      </c>
      <c r="G5" s="439">
        <f>ROUND(F5*1.21,2)</f>
        <v>5</v>
      </c>
      <c r="H5" s="65"/>
      <c r="I5" s="65"/>
    </row>
    <row r="6" spans="1:15" ht="30" x14ac:dyDescent="0.25">
      <c r="A6" s="7" t="s">
        <v>1179</v>
      </c>
      <c r="B6" s="519" t="s">
        <v>144</v>
      </c>
      <c r="C6" s="8">
        <v>2500</v>
      </c>
      <c r="D6" s="84">
        <v>0.22650500000000001</v>
      </c>
      <c r="E6" s="43">
        <f>E9*D6</f>
        <v>14462.770296187937</v>
      </c>
      <c r="F6" s="85">
        <f>ROUND(E6/C6,2)</f>
        <v>5.79</v>
      </c>
      <c r="G6" s="439">
        <f>ROUND(F6*1.21,2)</f>
        <v>7.01</v>
      </c>
      <c r="H6" s="65"/>
    </row>
    <row r="7" spans="1:15" ht="30" x14ac:dyDescent="0.25">
      <c r="A7" s="7" t="s">
        <v>1180</v>
      </c>
      <c r="B7" s="519" t="s">
        <v>145</v>
      </c>
      <c r="C7" s="8">
        <v>200</v>
      </c>
      <c r="D7" s="84">
        <v>5.178E-2</v>
      </c>
      <c r="E7" s="43">
        <f>E9*D7</f>
        <v>3306.2503959586379</v>
      </c>
      <c r="F7" s="85">
        <f>ROUND(E7/C7,2)</f>
        <v>16.53</v>
      </c>
      <c r="G7" s="439">
        <f>ROUND(F7*1.21,3)</f>
        <v>20.001000000000001</v>
      </c>
      <c r="H7" s="65"/>
    </row>
    <row r="8" spans="1:15" x14ac:dyDescent="0.25">
      <c r="A8" s="7" t="s">
        <v>1181</v>
      </c>
      <c r="B8" s="10" t="s">
        <v>1182</v>
      </c>
      <c r="C8" s="8">
        <v>115.15</v>
      </c>
      <c r="D8" s="84">
        <f>E8/E9</f>
        <v>7.451495443331875E-2</v>
      </c>
      <c r="E8" s="43">
        <v>4757.92</v>
      </c>
      <c r="F8" s="85">
        <f>ROUND(E8/C8,2)</f>
        <v>41.32</v>
      </c>
      <c r="G8" s="439">
        <f>ROUND(F8*1.21,3)</f>
        <v>49.997</v>
      </c>
      <c r="H8" s="65"/>
    </row>
    <row r="9" spans="1:15" x14ac:dyDescent="0.25">
      <c r="A9" s="9"/>
      <c r="B9" s="1"/>
      <c r="C9" s="11"/>
      <c r="D9" s="86">
        <f>SUM(D5:D8)</f>
        <v>0.99999995443331879</v>
      </c>
      <c r="E9" s="521">
        <v>63851.880957100002</v>
      </c>
      <c r="F9" s="19"/>
      <c r="G9" s="9"/>
    </row>
    <row r="10" spans="1:15" x14ac:dyDescent="0.25">
      <c r="G10" s="52"/>
    </row>
  </sheetData>
  <mergeCells count="1">
    <mergeCell ref="B1:C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345B7-42C0-49EF-8E54-907DEF449F89}">
  <dimension ref="A2:J20"/>
  <sheetViews>
    <sheetView zoomScaleNormal="100" workbookViewId="0">
      <selection activeCell="C24" sqref="C24"/>
    </sheetView>
  </sheetViews>
  <sheetFormatPr defaultRowHeight="15" x14ac:dyDescent="0.25"/>
  <cols>
    <col min="2" max="2" width="20" customWidth="1"/>
    <col min="3" max="3" width="24.28515625" customWidth="1"/>
    <col min="4" max="4" width="9.42578125" bestFit="1" customWidth="1"/>
    <col min="5" max="5" width="12.28515625" customWidth="1"/>
    <col min="6" max="6" width="11" customWidth="1"/>
    <col min="7" max="7" width="11.5703125" customWidth="1"/>
    <col min="8" max="8" width="16.7109375" customWidth="1"/>
    <col min="9" max="9" width="15.5703125" customWidth="1"/>
    <col min="10" max="10" width="10.28515625" bestFit="1" customWidth="1"/>
  </cols>
  <sheetData>
    <row r="2" spans="1:10" ht="15.75" x14ac:dyDescent="0.25">
      <c r="A2" s="13" t="s">
        <v>141</v>
      </c>
      <c r="B2" s="13"/>
      <c r="C2" s="14"/>
      <c r="D2" s="14"/>
      <c r="E2" s="14"/>
      <c r="F2" s="14"/>
      <c r="G2" s="14"/>
      <c r="H2" s="14"/>
    </row>
    <row r="3" spans="1:10" x14ac:dyDescent="0.25">
      <c r="B3" s="14"/>
      <c r="C3" s="14"/>
      <c r="D3" s="14"/>
      <c r="E3" s="14"/>
      <c r="F3" s="14"/>
      <c r="G3" s="14"/>
      <c r="H3" s="14"/>
    </row>
    <row r="4" spans="1:10" x14ac:dyDescent="0.25">
      <c r="B4" s="27" t="s">
        <v>38</v>
      </c>
    </row>
    <row r="5" spans="1:10" ht="15.75" x14ac:dyDescent="0.25">
      <c r="A5" s="30"/>
      <c r="B5" s="561" t="s">
        <v>9</v>
      </c>
      <c r="C5" s="561"/>
      <c r="D5" s="561"/>
      <c r="E5" s="561"/>
      <c r="F5" s="561"/>
      <c r="G5" s="561"/>
      <c r="H5" s="32">
        <f>SUM(H6:H7)</f>
        <v>16.48</v>
      </c>
    </row>
    <row r="6" spans="1:10" ht="15" customHeight="1" x14ac:dyDescent="0.25">
      <c r="A6" s="22">
        <v>2223</v>
      </c>
      <c r="B6" s="562" t="s">
        <v>1149</v>
      </c>
      <c r="C6" s="562"/>
      <c r="D6" s="562"/>
      <c r="E6" s="562"/>
      <c r="F6" s="562"/>
      <c r="G6" s="562"/>
      <c r="H6" s="25">
        <v>12.48</v>
      </c>
    </row>
    <row r="7" spans="1:10" ht="15" customHeight="1" x14ac:dyDescent="0.25">
      <c r="A7" s="22">
        <v>2244</v>
      </c>
      <c r="B7" s="562" t="s">
        <v>71</v>
      </c>
      <c r="C7" s="562"/>
      <c r="D7" s="562"/>
      <c r="E7" s="562"/>
      <c r="F7" s="562"/>
      <c r="G7" s="562"/>
      <c r="H7" s="25">
        <v>4</v>
      </c>
    </row>
    <row r="8" spans="1:10" ht="15" customHeight="1" x14ac:dyDescent="0.25">
      <c r="A8" s="28"/>
      <c r="B8" s="561" t="s">
        <v>12</v>
      </c>
      <c r="C8" s="561"/>
      <c r="D8" s="561"/>
      <c r="E8" s="561"/>
      <c r="F8" s="561"/>
      <c r="G8" s="561"/>
      <c r="H8" s="29">
        <f>SUM(H9:H10)</f>
        <v>8.31</v>
      </c>
    </row>
    <row r="9" spans="1:10" ht="15" customHeight="1" x14ac:dyDescent="0.25">
      <c r="A9" s="2">
        <v>2244</v>
      </c>
      <c r="B9" s="562" t="s">
        <v>115</v>
      </c>
      <c r="C9" s="562"/>
      <c r="D9" s="562"/>
      <c r="E9" s="562"/>
      <c r="F9" s="562"/>
      <c r="G9" s="562"/>
      <c r="H9" s="26">
        <v>7.11</v>
      </c>
      <c r="J9" s="436"/>
    </row>
    <row r="10" spans="1:10" ht="15" customHeight="1" x14ac:dyDescent="0.25">
      <c r="A10" s="2">
        <v>5000</v>
      </c>
      <c r="B10" s="626" t="s">
        <v>21</v>
      </c>
      <c r="C10" s="626"/>
      <c r="D10" s="626"/>
      <c r="E10" s="626"/>
      <c r="F10" s="626"/>
      <c r="G10" s="626"/>
      <c r="H10" s="26">
        <f>E19</f>
        <v>1.2</v>
      </c>
      <c r="J10" s="34"/>
    </row>
    <row r="11" spans="1:10" ht="15" customHeight="1" x14ac:dyDescent="0.25">
      <c r="A11" s="28"/>
      <c r="B11" s="561" t="s">
        <v>23</v>
      </c>
      <c r="C11" s="561"/>
      <c r="D11" s="561"/>
      <c r="E11" s="561"/>
      <c r="F11" s="561"/>
      <c r="G11" s="561"/>
      <c r="H11" s="31">
        <f>H5+H8</f>
        <v>24.79</v>
      </c>
    </row>
    <row r="14" spans="1:10" x14ac:dyDescent="0.25">
      <c r="A14" s="24">
        <v>5000</v>
      </c>
      <c r="B14" s="24" t="s">
        <v>8</v>
      </c>
      <c r="C14" s="24"/>
      <c r="D14" s="24"/>
      <c r="E14" s="184" t="s">
        <v>5</v>
      </c>
    </row>
    <row r="15" spans="1:10" x14ac:dyDescent="0.25">
      <c r="A15" s="24"/>
      <c r="B15" s="625" t="s">
        <v>91</v>
      </c>
      <c r="C15" s="625"/>
      <c r="D15" s="41"/>
      <c r="E15" s="41">
        <v>300</v>
      </c>
      <c r="H15" s="52"/>
    </row>
    <row r="16" spans="1:10" x14ac:dyDescent="0.25">
      <c r="A16" s="24"/>
      <c r="B16" s="625" t="s">
        <v>92</v>
      </c>
      <c r="C16" s="625"/>
      <c r="D16" s="41" t="s">
        <v>93</v>
      </c>
      <c r="E16" s="41">
        <v>10</v>
      </c>
      <c r="H16" s="52"/>
    </row>
    <row r="17" spans="1:5" x14ac:dyDescent="0.25">
      <c r="A17" s="24"/>
      <c r="B17" s="625" t="s">
        <v>67</v>
      </c>
      <c r="C17" s="625"/>
      <c r="D17" s="41"/>
      <c r="E17" s="41">
        <f>E15/E16</f>
        <v>30</v>
      </c>
    </row>
    <row r="18" spans="1:5" ht="30" customHeight="1" x14ac:dyDescent="0.25">
      <c r="A18" s="24"/>
      <c r="B18" s="624" t="s">
        <v>94</v>
      </c>
      <c r="C18" s="624"/>
      <c r="D18" s="41"/>
      <c r="E18" s="41">
        <v>25</v>
      </c>
    </row>
    <row r="19" spans="1:5" x14ac:dyDescent="0.25">
      <c r="A19" s="24"/>
      <c r="B19" s="24" t="s">
        <v>95</v>
      </c>
      <c r="C19" s="24"/>
      <c r="D19" s="41"/>
      <c r="E19" s="41">
        <f>E17/E18</f>
        <v>1.2</v>
      </c>
    </row>
    <row r="20" spans="1:5" x14ac:dyDescent="0.25">
      <c r="D20" s="52"/>
      <c r="E20" s="52"/>
    </row>
  </sheetData>
  <mergeCells count="11">
    <mergeCell ref="B18:C18"/>
    <mergeCell ref="B15:C15"/>
    <mergeCell ref="B16:C16"/>
    <mergeCell ref="B17:C17"/>
    <mergeCell ref="B5:G5"/>
    <mergeCell ref="B6:G6"/>
    <mergeCell ref="B7:G7"/>
    <mergeCell ref="B9:G9"/>
    <mergeCell ref="B11:G11"/>
    <mergeCell ref="B8:G8"/>
    <mergeCell ref="B10:G10"/>
  </mergeCells>
  <pageMargins left="0.7" right="0.7" top="0.75" bottom="0.75" header="0.3" footer="0.3"/>
  <pageSetup paperSize="9" orientation="portrait" verticalDpi="20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83852-86C7-4091-859C-093A34ED6ABB}">
  <dimension ref="A1:F29"/>
  <sheetViews>
    <sheetView zoomScale="70" zoomScaleNormal="70" workbookViewId="0">
      <selection activeCell="B32" sqref="B32"/>
    </sheetView>
  </sheetViews>
  <sheetFormatPr defaultRowHeight="15" x14ac:dyDescent="0.25"/>
  <cols>
    <col min="2" max="2" width="20" customWidth="1"/>
    <col min="3" max="3" width="21.7109375" customWidth="1"/>
    <col min="4" max="4" width="20.5703125" customWidth="1"/>
    <col min="5" max="5" width="15.5703125" customWidth="1"/>
    <col min="7" max="7" width="2.28515625" customWidth="1"/>
  </cols>
  <sheetData>
    <row r="1" spans="1:4" ht="17.649999999999999" customHeight="1" x14ac:dyDescent="0.25">
      <c r="A1" s="44" t="s">
        <v>1183</v>
      </c>
      <c r="B1" s="44"/>
      <c r="C1" s="44"/>
      <c r="D1" s="44"/>
    </row>
    <row r="2" spans="1:4" ht="15.75" x14ac:dyDescent="0.25">
      <c r="A2" s="336" t="s">
        <v>1184</v>
      </c>
      <c r="B2" s="13"/>
      <c r="C2" s="14"/>
      <c r="D2" s="14"/>
    </row>
    <row r="3" spans="1:4" x14ac:dyDescent="0.25">
      <c r="A3" s="336" t="s">
        <v>1185</v>
      </c>
      <c r="B3" s="14"/>
      <c r="C3" s="14"/>
      <c r="D3" s="14"/>
    </row>
    <row r="4" spans="1:4" x14ac:dyDescent="0.25">
      <c r="A4" s="336" t="s">
        <v>1186</v>
      </c>
      <c r="B4" s="14"/>
      <c r="C4" s="14"/>
      <c r="D4" s="14"/>
    </row>
    <row r="5" spans="1:4" x14ac:dyDescent="0.25">
      <c r="A5" s="336" t="s">
        <v>1187</v>
      </c>
      <c r="B5" s="14"/>
      <c r="C5" s="14"/>
      <c r="D5" s="14"/>
    </row>
    <row r="6" spans="1:4" x14ac:dyDescent="0.25">
      <c r="A6" s="336" t="s">
        <v>1188</v>
      </c>
      <c r="B6" s="14"/>
      <c r="C6" s="14"/>
      <c r="D6" s="14"/>
    </row>
    <row r="8" spans="1:4" ht="15.75" x14ac:dyDescent="0.25">
      <c r="B8" s="630" t="s">
        <v>38</v>
      </c>
      <c r="C8" s="631"/>
      <c r="D8" s="49"/>
    </row>
    <row r="9" spans="1:4" ht="15.75" x14ac:dyDescent="0.25">
      <c r="A9" s="45" t="s">
        <v>7</v>
      </c>
      <c r="B9" s="561" t="s">
        <v>9</v>
      </c>
      <c r="C9" s="561"/>
      <c r="D9" s="32">
        <f>SUM(D10:D12)</f>
        <v>127.032</v>
      </c>
    </row>
    <row r="10" spans="1:4" ht="22.9" customHeight="1" x14ac:dyDescent="0.25">
      <c r="A10" s="46">
        <v>1100</v>
      </c>
      <c r="B10" s="562" t="s">
        <v>10</v>
      </c>
      <c r="C10" s="562"/>
      <c r="D10" s="39">
        <f>D21</f>
        <v>72.239999999999995</v>
      </c>
    </row>
    <row r="11" spans="1:4" ht="15" customHeight="1" x14ac:dyDescent="0.25">
      <c r="A11" s="46">
        <v>1200</v>
      </c>
      <c r="B11" s="562" t="s">
        <v>53</v>
      </c>
      <c r="C11" s="562"/>
      <c r="D11" s="39">
        <f>ROUND(D10*0.2359,2)</f>
        <v>17.04</v>
      </c>
    </row>
    <row r="12" spans="1:4" ht="15" customHeight="1" x14ac:dyDescent="0.25">
      <c r="A12" s="46">
        <v>2224</v>
      </c>
      <c r="B12" s="562" t="s">
        <v>42</v>
      </c>
      <c r="C12" s="562"/>
      <c r="D12" s="39">
        <f>D24</f>
        <v>37.751999999999995</v>
      </c>
    </row>
    <row r="13" spans="1:4" ht="15.75" x14ac:dyDescent="0.25">
      <c r="A13" s="47"/>
      <c r="B13" s="561" t="s">
        <v>12</v>
      </c>
      <c r="C13" s="561"/>
      <c r="D13" s="29">
        <f>SUM(D14:D15)</f>
        <v>2415.65</v>
      </c>
    </row>
    <row r="14" spans="1:4" ht="15" customHeight="1" x14ac:dyDescent="0.25">
      <c r="A14" s="325" t="s">
        <v>293</v>
      </c>
      <c r="B14" s="626" t="s">
        <v>97</v>
      </c>
      <c r="C14" s="626"/>
      <c r="D14" s="39">
        <f>D19</f>
        <v>2166.0500000000002</v>
      </c>
    </row>
    <row r="15" spans="1:4" ht="30.6" customHeight="1" x14ac:dyDescent="0.25">
      <c r="A15" s="48">
        <v>2350</v>
      </c>
      <c r="B15" s="627" t="s">
        <v>98</v>
      </c>
      <c r="C15" s="627"/>
      <c r="D15" s="53">
        <f>D27</f>
        <v>249.6</v>
      </c>
    </row>
    <row r="16" spans="1:4" ht="15.75" x14ac:dyDescent="0.25">
      <c r="A16" s="47"/>
      <c r="B16" s="628" t="s">
        <v>23</v>
      </c>
      <c r="C16" s="629"/>
      <c r="D16" s="31">
        <f>D9+D13</f>
        <v>2542.6820000000002</v>
      </c>
    </row>
    <row r="18" spans="1:6" x14ac:dyDescent="0.25">
      <c r="B18" s="327" t="s">
        <v>117</v>
      </c>
      <c r="C18" s="327"/>
      <c r="D18" s="326">
        <f>E18+E19+E20</f>
        <v>790608.16</v>
      </c>
      <c r="E18">
        <v>398049.5</v>
      </c>
      <c r="F18">
        <v>2244</v>
      </c>
    </row>
    <row r="19" spans="1:6" x14ac:dyDescent="0.25">
      <c r="B19" s="24" t="s">
        <v>118</v>
      </c>
      <c r="C19" s="24"/>
      <c r="D19" s="41">
        <f>ROUND(D18/365,2)</f>
        <v>2166.0500000000002</v>
      </c>
      <c r="E19">
        <v>254417.49</v>
      </c>
      <c r="F19">
        <v>2241</v>
      </c>
    </row>
    <row r="20" spans="1:6" x14ac:dyDescent="0.25">
      <c r="D20" s="52"/>
      <c r="E20">
        <f>138141.17</f>
        <v>138141.17000000001</v>
      </c>
      <c r="F20">
        <v>2224</v>
      </c>
    </row>
    <row r="21" spans="1:6" x14ac:dyDescent="0.25">
      <c r="B21" s="24" t="s">
        <v>295</v>
      </c>
      <c r="C21" s="24"/>
      <c r="D21" s="41">
        <f>9.03*8</f>
        <v>72.239999999999995</v>
      </c>
      <c r="F21" s="34"/>
    </row>
    <row r="22" spans="1:6" x14ac:dyDescent="0.25">
      <c r="C22" t="s">
        <v>296</v>
      </c>
      <c r="D22" s="52"/>
      <c r="F22" s="34"/>
    </row>
    <row r="23" spans="1:6" x14ac:dyDescent="0.25">
      <c r="D23" s="52"/>
      <c r="F23" s="34"/>
    </row>
    <row r="24" spans="1:6" x14ac:dyDescent="0.25">
      <c r="B24" s="24" t="s">
        <v>297</v>
      </c>
      <c r="C24" s="24"/>
      <c r="D24" s="41">
        <f>(31.2*1.21)</f>
        <v>37.751999999999995</v>
      </c>
    </row>
    <row r="25" spans="1:6" x14ac:dyDescent="0.25">
      <c r="D25" s="52"/>
    </row>
    <row r="26" spans="1:6" x14ac:dyDescent="0.25">
      <c r="B26" s="327" t="s">
        <v>96</v>
      </c>
      <c r="C26" s="327"/>
      <c r="D26" s="328">
        <v>91104.52</v>
      </c>
    </row>
    <row r="27" spans="1:6" x14ac:dyDescent="0.25">
      <c r="B27" s="24" t="s">
        <v>116</v>
      </c>
      <c r="C27" s="24"/>
      <c r="D27" s="41">
        <f>ROUND(D26/365,2)</f>
        <v>249.6</v>
      </c>
    </row>
    <row r="29" spans="1:6" x14ac:dyDescent="0.25">
      <c r="A29" s="325" t="s">
        <v>293</v>
      </c>
      <c r="B29" t="s">
        <v>294</v>
      </c>
    </row>
  </sheetData>
  <mergeCells count="9">
    <mergeCell ref="B14:C14"/>
    <mergeCell ref="B15:C15"/>
    <mergeCell ref="B16:C16"/>
    <mergeCell ref="B8:C8"/>
    <mergeCell ref="B9:C9"/>
    <mergeCell ref="B10:C10"/>
    <mergeCell ref="B11:C11"/>
    <mergeCell ref="B12:C12"/>
    <mergeCell ref="B13:C1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6DA5D-4B93-49E5-A7AF-827FCA53CD88}">
  <dimension ref="A2:K52"/>
  <sheetViews>
    <sheetView topLeftCell="A27" zoomScaleNormal="100" workbookViewId="0">
      <selection activeCell="F49" sqref="F49"/>
    </sheetView>
  </sheetViews>
  <sheetFormatPr defaultRowHeight="15" x14ac:dyDescent="0.25"/>
  <cols>
    <col min="2" max="2" width="20" customWidth="1"/>
    <col min="3" max="3" width="24.28515625" customWidth="1"/>
    <col min="6" max="6" width="15.5703125" customWidth="1"/>
    <col min="7" max="7" width="13.42578125" customWidth="1"/>
    <col min="9" max="9" width="12.7109375" customWidth="1"/>
    <col min="11" max="11" width="13.5703125" customWidth="1"/>
  </cols>
  <sheetData>
    <row r="2" spans="1:11" ht="15.75" x14ac:dyDescent="0.25">
      <c r="A2" s="13" t="s">
        <v>65</v>
      </c>
      <c r="B2" s="13" t="s">
        <v>136</v>
      </c>
      <c r="C2" s="14"/>
      <c r="D2" s="14"/>
      <c r="E2" s="14"/>
      <c r="F2" s="14"/>
    </row>
    <row r="3" spans="1:11" x14ac:dyDescent="0.25">
      <c r="B3" s="14"/>
      <c r="C3" s="14"/>
      <c r="D3" s="14"/>
      <c r="E3" s="14"/>
      <c r="F3" s="14"/>
    </row>
    <row r="4" spans="1:11" x14ac:dyDescent="0.25">
      <c r="B4" s="14"/>
      <c r="C4" s="14"/>
      <c r="D4" s="14"/>
      <c r="E4" s="14"/>
      <c r="F4" s="14"/>
    </row>
    <row r="5" spans="1:11" x14ac:dyDescent="0.25">
      <c r="F5" s="24" t="s">
        <v>13</v>
      </c>
    </row>
    <row r="6" spans="1:11" x14ac:dyDescent="0.25">
      <c r="B6" s="27" t="s">
        <v>38</v>
      </c>
      <c r="F6" s="24" t="s">
        <v>49</v>
      </c>
    </row>
    <row r="7" spans="1:11" ht="15.75" x14ac:dyDescent="0.25">
      <c r="A7" s="30"/>
      <c r="B7" s="628" t="s">
        <v>9</v>
      </c>
      <c r="C7" s="632"/>
      <c r="D7" s="632"/>
      <c r="E7" s="629"/>
      <c r="F7" s="31">
        <f>SUM(F8:F9)</f>
        <v>10.129999999999999</v>
      </c>
    </row>
    <row r="8" spans="1:11" ht="45" customHeight="1" x14ac:dyDescent="0.25">
      <c r="A8" s="22">
        <v>1100</v>
      </c>
      <c r="B8" s="633" t="s">
        <v>134</v>
      </c>
      <c r="C8" s="634"/>
      <c r="D8" s="634"/>
      <c r="E8" s="635"/>
      <c r="F8" s="39">
        <v>8.1999999999999993</v>
      </c>
    </row>
    <row r="9" spans="1:11" ht="38.1" customHeight="1" x14ac:dyDescent="0.25">
      <c r="A9" s="22">
        <v>1200</v>
      </c>
      <c r="B9" s="633" t="s">
        <v>127</v>
      </c>
      <c r="C9" s="634"/>
      <c r="D9" s="634"/>
      <c r="E9" s="635"/>
      <c r="F9" s="39">
        <v>1.93</v>
      </c>
    </row>
    <row r="10" spans="1:11" ht="44.65" customHeight="1" x14ac:dyDescent="0.25">
      <c r="A10" s="28"/>
      <c r="B10" s="628" t="s">
        <v>12</v>
      </c>
      <c r="C10" s="632"/>
      <c r="D10" s="632"/>
      <c r="E10" s="629"/>
      <c r="F10" s="31" t="e">
        <f>SUM(F11:F20)</f>
        <v>#REF!</v>
      </c>
      <c r="G10" s="65" t="s">
        <v>132</v>
      </c>
      <c r="H10" s="65" t="s">
        <v>133</v>
      </c>
      <c r="I10" s="67" t="s">
        <v>140</v>
      </c>
      <c r="J10" s="71" t="s">
        <v>135</v>
      </c>
      <c r="K10" s="72" t="s">
        <v>77</v>
      </c>
    </row>
    <row r="11" spans="1:11" ht="15" customHeight="1" x14ac:dyDescent="0.25">
      <c r="A11" s="68">
        <v>2222</v>
      </c>
      <c r="B11" s="636" t="s">
        <v>44</v>
      </c>
      <c r="C11" s="637"/>
      <c r="D11" s="637"/>
      <c r="E11" s="638"/>
      <c r="F11" s="69" t="e">
        <f>#REF!</f>
        <v>#REF!</v>
      </c>
      <c r="G11" s="70" t="e">
        <f>F11/12</f>
        <v>#REF!</v>
      </c>
      <c r="H11" s="70" t="e">
        <f>G11/21</f>
        <v>#REF!</v>
      </c>
      <c r="I11" s="70" t="e">
        <f>H11/8</f>
        <v>#REF!</v>
      </c>
      <c r="J11" s="70" t="e">
        <f>I11/410.4</f>
        <v>#REF!</v>
      </c>
      <c r="K11" s="70" t="e">
        <f>J11*54.5</f>
        <v>#REF!</v>
      </c>
    </row>
    <row r="12" spans="1:11" ht="15" customHeight="1" x14ac:dyDescent="0.25">
      <c r="A12" s="68">
        <v>2221</v>
      </c>
      <c r="B12" s="636" t="s">
        <v>63</v>
      </c>
      <c r="C12" s="637"/>
      <c r="D12" s="637"/>
      <c r="E12" s="638"/>
      <c r="F12" s="69" t="e">
        <f>#REF!</f>
        <v>#REF!</v>
      </c>
      <c r="G12" s="70" t="e">
        <f t="shared" ref="G12:G19" si="0">F12/12</f>
        <v>#REF!</v>
      </c>
      <c r="H12" s="70" t="e">
        <f t="shared" ref="H12:H19" si="1">G12/21</f>
        <v>#REF!</v>
      </c>
      <c r="I12" s="70" t="e">
        <f t="shared" ref="I12:I19" si="2">H12/8</f>
        <v>#REF!</v>
      </c>
      <c r="J12" s="70" t="e">
        <f t="shared" ref="J12:J19" si="3">I12/410.4</f>
        <v>#REF!</v>
      </c>
      <c r="K12" s="70" t="e">
        <f t="shared" ref="K12:K19" si="4">J12*54.5</f>
        <v>#REF!</v>
      </c>
    </row>
    <row r="13" spans="1:11" ht="15" customHeight="1" x14ac:dyDescent="0.25">
      <c r="A13" s="68">
        <v>2223</v>
      </c>
      <c r="B13" s="636" t="s">
        <v>41</v>
      </c>
      <c r="C13" s="637"/>
      <c r="D13" s="637"/>
      <c r="E13" s="638"/>
      <c r="F13" s="69" t="e">
        <f>#REF!</f>
        <v>#REF!</v>
      </c>
      <c r="G13" s="70" t="e">
        <f t="shared" si="0"/>
        <v>#REF!</v>
      </c>
      <c r="H13" s="70" t="e">
        <f t="shared" si="1"/>
        <v>#REF!</v>
      </c>
      <c r="I13" s="70" t="e">
        <f t="shared" si="2"/>
        <v>#REF!</v>
      </c>
      <c r="J13" s="70" t="e">
        <f t="shared" si="3"/>
        <v>#REF!</v>
      </c>
      <c r="K13" s="70" t="e">
        <f t="shared" si="4"/>
        <v>#REF!</v>
      </c>
    </row>
    <row r="14" spans="1:11" ht="15" customHeight="1" x14ac:dyDescent="0.25">
      <c r="A14" s="68">
        <v>2224</v>
      </c>
      <c r="B14" s="636" t="s">
        <v>42</v>
      </c>
      <c r="C14" s="637"/>
      <c r="D14" s="637"/>
      <c r="E14" s="638"/>
      <c r="F14" s="69" t="e">
        <f>#REF!</f>
        <v>#REF!</v>
      </c>
      <c r="G14" s="70" t="e">
        <f t="shared" si="0"/>
        <v>#REF!</v>
      </c>
      <c r="H14" s="70" t="e">
        <f t="shared" si="1"/>
        <v>#REF!</v>
      </c>
      <c r="I14" s="70" t="e">
        <f t="shared" si="2"/>
        <v>#REF!</v>
      </c>
      <c r="J14" s="70" t="e">
        <f t="shared" si="3"/>
        <v>#REF!</v>
      </c>
      <c r="K14" s="70" t="e">
        <f t="shared" si="4"/>
        <v>#REF!</v>
      </c>
    </row>
    <row r="15" spans="1:11" ht="15" customHeight="1" x14ac:dyDescent="0.25">
      <c r="A15" s="68">
        <v>2210</v>
      </c>
      <c r="B15" s="636" t="s">
        <v>43</v>
      </c>
      <c r="C15" s="637"/>
      <c r="D15" s="637"/>
      <c r="E15" s="638"/>
      <c r="F15" s="69" t="e">
        <f>#REF!</f>
        <v>#REF!</v>
      </c>
      <c r="G15" s="70" t="e">
        <f>F15/12</f>
        <v>#REF!</v>
      </c>
      <c r="H15" s="70" t="e">
        <f>G15/21</f>
        <v>#REF!</v>
      </c>
      <c r="I15" s="70" t="e">
        <f>H15/8</f>
        <v>#REF!</v>
      </c>
      <c r="J15" s="70" t="e">
        <f>I15/410.4</f>
        <v>#REF!</v>
      </c>
      <c r="K15" s="70" t="e">
        <f>J15*54.5</f>
        <v>#REF!</v>
      </c>
    </row>
    <row r="16" spans="1:11" ht="15" customHeight="1" x14ac:dyDescent="0.25">
      <c r="A16" s="78">
        <v>2244</v>
      </c>
      <c r="B16" s="639" t="s">
        <v>45</v>
      </c>
      <c r="C16" s="640"/>
      <c r="D16" s="640"/>
      <c r="E16" s="641"/>
      <c r="F16" s="79" t="e">
        <f>#REF!</f>
        <v>#REF!</v>
      </c>
      <c r="G16" s="80" t="e">
        <f t="shared" si="0"/>
        <v>#REF!</v>
      </c>
      <c r="H16" s="80" t="e">
        <f t="shared" si="1"/>
        <v>#REF!</v>
      </c>
      <c r="I16" s="80" t="e">
        <f t="shared" si="2"/>
        <v>#REF!</v>
      </c>
      <c r="J16" s="80" t="e">
        <f t="shared" si="3"/>
        <v>#REF!</v>
      </c>
      <c r="K16" s="80" t="e">
        <f t="shared" si="4"/>
        <v>#REF!</v>
      </c>
    </row>
    <row r="17" spans="1:11" ht="15" customHeight="1" x14ac:dyDescent="0.25">
      <c r="A17" s="78">
        <v>2224</v>
      </c>
      <c r="B17" s="639" t="s">
        <v>64</v>
      </c>
      <c r="C17" s="640"/>
      <c r="D17" s="640"/>
      <c r="E17" s="641"/>
      <c r="F17" s="79" t="e">
        <f>#REF!</f>
        <v>#REF!</v>
      </c>
      <c r="G17" s="80" t="e">
        <f t="shared" si="0"/>
        <v>#REF!</v>
      </c>
      <c r="H17" s="80" t="e">
        <f t="shared" si="1"/>
        <v>#REF!</v>
      </c>
      <c r="I17" s="80" t="e">
        <f t="shared" si="2"/>
        <v>#REF!</v>
      </c>
      <c r="J17" s="80" t="e">
        <f t="shared" si="3"/>
        <v>#REF!</v>
      </c>
      <c r="K17" s="80" t="e">
        <f t="shared" si="4"/>
        <v>#REF!</v>
      </c>
    </row>
    <row r="18" spans="1:11" ht="15" customHeight="1" x14ac:dyDescent="0.25">
      <c r="A18" s="38">
        <v>2350</v>
      </c>
      <c r="B18" s="633" t="s">
        <v>47</v>
      </c>
      <c r="C18" s="634"/>
      <c r="D18" s="634"/>
      <c r="E18" s="635"/>
      <c r="F18" s="39" t="e">
        <f>#REF!</f>
        <v>#REF!</v>
      </c>
      <c r="G18" s="52" t="e">
        <f t="shared" si="0"/>
        <v>#REF!</v>
      </c>
      <c r="H18" s="52" t="e">
        <f t="shared" si="1"/>
        <v>#REF!</v>
      </c>
      <c r="I18" s="52" t="e">
        <f t="shared" si="2"/>
        <v>#REF!</v>
      </c>
      <c r="J18" s="70" t="e">
        <f t="shared" si="3"/>
        <v>#REF!</v>
      </c>
      <c r="K18" s="70" t="e">
        <f t="shared" si="4"/>
        <v>#REF!</v>
      </c>
    </row>
    <row r="19" spans="1:11" ht="15" customHeight="1" x14ac:dyDescent="0.25">
      <c r="A19" s="38">
        <v>5000</v>
      </c>
      <c r="B19" s="642" t="s">
        <v>21</v>
      </c>
      <c r="C19" s="643"/>
      <c r="D19" s="643"/>
      <c r="E19" s="644"/>
      <c r="F19" s="39" t="e">
        <f>#REF!</f>
        <v>#REF!</v>
      </c>
      <c r="G19" s="52" t="e">
        <f t="shared" si="0"/>
        <v>#REF!</v>
      </c>
      <c r="H19" s="52" t="e">
        <f t="shared" si="1"/>
        <v>#REF!</v>
      </c>
      <c r="I19" s="52" t="e">
        <f t="shared" si="2"/>
        <v>#REF!</v>
      </c>
      <c r="J19" s="70" t="e">
        <f t="shared" si="3"/>
        <v>#REF!</v>
      </c>
      <c r="K19" s="70" t="e">
        <f t="shared" si="4"/>
        <v>#REF!</v>
      </c>
    </row>
    <row r="20" spans="1:11" ht="15" customHeight="1" x14ac:dyDescent="0.25">
      <c r="A20" s="37"/>
      <c r="B20" s="642"/>
      <c r="C20" s="643"/>
      <c r="D20" s="643"/>
      <c r="E20" s="644"/>
      <c r="F20" s="43"/>
      <c r="K20" s="52"/>
    </row>
    <row r="21" spans="1:11" ht="15" customHeight="1" x14ac:dyDescent="0.25">
      <c r="A21" s="28"/>
      <c r="B21" s="628" t="s">
        <v>23</v>
      </c>
      <c r="C21" s="632"/>
      <c r="D21" s="632"/>
      <c r="E21" s="629"/>
      <c r="F21" s="31" t="e">
        <f>F7+F10</f>
        <v>#REF!</v>
      </c>
      <c r="K21" s="52"/>
    </row>
    <row r="22" spans="1:11" x14ac:dyDescent="0.25">
      <c r="K22" s="81"/>
    </row>
    <row r="24" spans="1:11" x14ac:dyDescent="0.25">
      <c r="B24" s="24" t="s">
        <v>66</v>
      </c>
      <c r="C24" s="51" t="s">
        <v>68</v>
      </c>
      <c r="D24" s="24">
        <v>410.4</v>
      </c>
      <c r="E24" s="41" t="e">
        <f>ROUND(F21/D24,2)</f>
        <v>#REF!</v>
      </c>
    </row>
    <row r="25" spans="1:11" x14ac:dyDescent="0.25">
      <c r="B25" s="24" t="s">
        <v>55</v>
      </c>
      <c r="C25" s="51" t="s">
        <v>4</v>
      </c>
      <c r="D25" s="24">
        <v>12</v>
      </c>
      <c r="E25" s="41" t="e">
        <f>ROUND(E24/D25,2)</f>
        <v>#REF!</v>
      </c>
    </row>
    <row r="26" spans="1:11" x14ac:dyDescent="0.25">
      <c r="B26" s="24" t="s">
        <v>56</v>
      </c>
      <c r="C26" s="51" t="s">
        <v>69</v>
      </c>
      <c r="D26" s="24">
        <v>21</v>
      </c>
      <c r="E26" s="41" t="e">
        <f>ROUND(E25/D26,2)</f>
        <v>#REF!</v>
      </c>
    </row>
    <row r="27" spans="1:11" x14ac:dyDescent="0.25">
      <c r="B27" s="24" t="s">
        <v>57</v>
      </c>
      <c r="C27" s="51" t="s">
        <v>70</v>
      </c>
      <c r="D27" s="24">
        <v>8</v>
      </c>
      <c r="E27" s="41" t="e">
        <f>ROUND(E26/D27,2)</f>
        <v>#REF!</v>
      </c>
    </row>
    <row r="29" spans="1:11" x14ac:dyDescent="0.25">
      <c r="A29" t="s">
        <v>75</v>
      </c>
      <c r="D29" s="24" t="s">
        <v>68</v>
      </c>
      <c r="E29" s="41" t="s">
        <v>74</v>
      </c>
    </row>
    <row r="30" spans="1:11" x14ac:dyDescent="0.25">
      <c r="A30" s="10" t="s">
        <v>76</v>
      </c>
      <c r="B30" s="627" t="s">
        <v>77</v>
      </c>
      <c r="C30" s="627"/>
      <c r="D30" s="24">
        <v>54.5</v>
      </c>
      <c r="E30" s="41" t="e">
        <f>E27*D30</f>
        <v>#REF!</v>
      </c>
    </row>
    <row r="33" spans="1:4" x14ac:dyDescent="0.25">
      <c r="A33" s="37" t="s">
        <v>131</v>
      </c>
      <c r="B33" s="24"/>
      <c r="C33" s="24"/>
      <c r="D33" s="51"/>
    </row>
    <row r="34" spans="1:4" x14ac:dyDescent="0.25">
      <c r="A34" s="24"/>
      <c r="B34" s="24"/>
      <c r="C34" s="24"/>
      <c r="D34" s="75"/>
    </row>
    <row r="35" spans="1:4" x14ac:dyDescent="0.25">
      <c r="A35" s="24"/>
      <c r="B35" s="24" t="s">
        <v>138</v>
      </c>
      <c r="C35" s="51" t="s">
        <v>62</v>
      </c>
      <c r="D35" s="62">
        <v>10.78</v>
      </c>
    </row>
    <row r="36" spans="1:4" x14ac:dyDescent="0.25">
      <c r="A36" s="24"/>
      <c r="B36" s="24"/>
      <c r="C36" s="73" t="s">
        <v>87</v>
      </c>
      <c r="D36" s="77">
        <v>7.66</v>
      </c>
    </row>
    <row r="37" spans="1:4" x14ac:dyDescent="0.25">
      <c r="A37" s="24"/>
      <c r="B37" s="24"/>
      <c r="C37" s="73" t="s">
        <v>88</v>
      </c>
      <c r="D37" s="77">
        <v>5.55</v>
      </c>
    </row>
    <row r="38" spans="1:4" x14ac:dyDescent="0.25">
      <c r="A38" s="24"/>
      <c r="B38" s="24"/>
      <c r="C38" s="73" t="s">
        <v>89</v>
      </c>
      <c r="D38" s="77">
        <v>5.75</v>
      </c>
    </row>
    <row r="39" spans="1:4" x14ac:dyDescent="0.25">
      <c r="A39" s="24"/>
      <c r="B39" s="24"/>
      <c r="C39" s="74" t="s">
        <v>139</v>
      </c>
      <c r="D39" s="77">
        <v>6.52</v>
      </c>
    </row>
    <row r="40" spans="1:4" x14ac:dyDescent="0.25">
      <c r="A40" s="24"/>
      <c r="B40" s="24" t="s">
        <v>128</v>
      </c>
      <c r="C40" s="51" t="s">
        <v>82</v>
      </c>
      <c r="D40" s="62">
        <v>8.94</v>
      </c>
    </row>
    <row r="41" spans="1:4" x14ac:dyDescent="0.25">
      <c r="A41" s="24"/>
      <c r="B41" s="24"/>
      <c r="C41" s="51" t="s">
        <v>125</v>
      </c>
      <c r="D41" s="62">
        <v>7.08</v>
      </c>
    </row>
    <row r="42" spans="1:4" x14ac:dyDescent="0.25">
      <c r="A42" s="24"/>
      <c r="B42" s="24"/>
      <c r="C42" s="51" t="s">
        <v>84</v>
      </c>
      <c r="D42" s="62">
        <v>6.57</v>
      </c>
    </row>
    <row r="43" spans="1:4" x14ac:dyDescent="0.25">
      <c r="A43" s="24"/>
      <c r="B43" s="24"/>
      <c r="C43" s="51" t="s">
        <v>78</v>
      </c>
      <c r="D43" s="62">
        <v>8.23</v>
      </c>
    </row>
    <row r="44" spans="1:4" x14ac:dyDescent="0.25">
      <c r="A44" s="24"/>
      <c r="B44" s="24"/>
      <c r="C44" s="51" t="s">
        <v>79</v>
      </c>
      <c r="D44" s="62">
        <v>7.68</v>
      </c>
    </row>
    <row r="45" spans="1:4" x14ac:dyDescent="0.25">
      <c r="A45" s="24"/>
      <c r="B45" s="24"/>
      <c r="C45" s="51" t="s">
        <v>80</v>
      </c>
      <c r="D45" s="62">
        <v>7.68</v>
      </c>
    </row>
    <row r="46" spans="1:4" x14ac:dyDescent="0.25">
      <c r="A46" s="24"/>
      <c r="B46" s="24"/>
      <c r="C46" s="51" t="s">
        <v>81</v>
      </c>
      <c r="D46" s="24">
        <v>11.41</v>
      </c>
    </row>
    <row r="47" spans="1:4" x14ac:dyDescent="0.25">
      <c r="A47" s="24"/>
      <c r="B47" s="24"/>
      <c r="C47" s="51" t="s">
        <v>83</v>
      </c>
      <c r="D47" s="24">
        <v>13.48</v>
      </c>
    </row>
    <row r="48" spans="1:4" x14ac:dyDescent="0.25">
      <c r="A48" s="24"/>
      <c r="B48" s="24"/>
      <c r="C48" s="51"/>
      <c r="D48" s="62">
        <f>SUM(D35:D47)</f>
        <v>107.33</v>
      </c>
    </row>
    <row r="49" spans="1:4" x14ac:dyDescent="0.25">
      <c r="A49" s="24"/>
      <c r="B49" s="24" t="s">
        <v>85</v>
      </c>
      <c r="C49" s="51"/>
      <c r="D49" s="62">
        <v>13</v>
      </c>
    </row>
    <row r="50" spans="1:4" x14ac:dyDescent="0.25">
      <c r="A50" s="24"/>
      <c r="B50" s="24" t="s">
        <v>86</v>
      </c>
      <c r="C50" s="24"/>
      <c r="D50" s="76">
        <f>D48/D49</f>
        <v>8.2561538461538468</v>
      </c>
    </row>
    <row r="51" spans="1:4" x14ac:dyDescent="0.25">
      <c r="A51" s="24"/>
      <c r="B51" s="24"/>
      <c r="C51" s="66" t="s">
        <v>129</v>
      </c>
      <c r="D51" s="64">
        <f>D50*0.2359</f>
        <v>1.9476266923076924</v>
      </c>
    </row>
    <row r="52" spans="1:4" x14ac:dyDescent="0.25">
      <c r="A52" s="24"/>
      <c r="B52" s="24"/>
      <c r="C52" s="66" t="s">
        <v>130</v>
      </c>
      <c r="D52" s="64">
        <f>D50+D51</f>
        <v>10.203780538461539</v>
      </c>
    </row>
  </sheetData>
  <mergeCells count="16">
    <mergeCell ref="B7:E7"/>
    <mergeCell ref="B8:E8"/>
    <mergeCell ref="B9:E9"/>
    <mergeCell ref="B10:E10"/>
    <mergeCell ref="B30:C30"/>
    <mergeCell ref="B11:E11"/>
    <mergeCell ref="B12:E12"/>
    <mergeCell ref="B13:E13"/>
    <mergeCell ref="B14:E14"/>
    <mergeCell ref="B16:E16"/>
    <mergeCell ref="B17:E17"/>
    <mergeCell ref="B15:E15"/>
    <mergeCell ref="B18:E18"/>
    <mergeCell ref="B19:E19"/>
    <mergeCell ref="B20:E20"/>
    <mergeCell ref="B21:E21"/>
  </mergeCells>
  <conditionalFormatting sqref="A18">
    <cfRule type="duplicateValues" dxfId="1" priority="2"/>
  </conditionalFormatting>
  <conditionalFormatting sqref="A19:A20">
    <cfRule type="duplicateValues" dxfId="0" priority="1"/>
  </conditionalFormatting>
  <pageMargins left="0.7" right="0.7" top="0.75" bottom="0.75" header="0.3" footer="0.3"/>
  <pageSetup paperSize="9" orientation="portrait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AA481-4D4B-4C50-B61E-D85A54CF587F}">
  <dimension ref="A1:X389"/>
  <sheetViews>
    <sheetView topLeftCell="F1" zoomScale="80" zoomScaleNormal="80" workbookViewId="0">
      <selection activeCell="K18" sqref="K18"/>
    </sheetView>
  </sheetViews>
  <sheetFormatPr defaultColWidth="8.7109375" defaultRowHeight="12.75" x14ac:dyDescent="0.2"/>
  <cols>
    <col min="1" max="2" width="15.5703125" style="375" customWidth="1"/>
    <col min="3" max="3" width="16.7109375" style="375" customWidth="1"/>
    <col min="4" max="4" width="18.28515625" style="375" customWidth="1"/>
    <col min="5" max="5" width="17.7109375" style="375" customWidth="1"/>
    <col min="6" max="6" width="19.7109375" style="375" customWidth="1"/>
    <col min="7" max="7" width="14.7109375" style="378" customWidth="1"/>
    <col min="8" max="9" width="20.28515625" style="375" customWidth="1"/>
    <col min="10" max="10" width="17.42578125" style="375" customWidth="1"/>
    <col min="11" max="11" width="17.28515625" style="373" customWidth="1"/>
    <col min="12" max="12" width="13.7109375" style="373" customWidth="1"/>
    <col min="13" max="13" width="12" style="373" customWidth="1"/>
    <col min="14" max="14" width="27.7109375" style="373" customWidth="1"/>
    <col min="15" max="15" width="17.28515625" style="373" customWidth="1"/>
    <col min="16" max="16" width="13.28515625" style="373" customWidth="1"/>
    <col min="17" max="17" width="13.7109375" style="373" customWidth="1"/>
    <col min="18" max="18" width="16.28515625" style="373" customWidth="1"/>
    <col min="19" max="19" width="20.7109375" style="373" customWidth="1"/>
    <col min="20" max="16384" width="8.7109375" style="373"/>
  </cols>
  <sheetData>
    <row r="1" spans="1:14" x14ac:dyDescent="0.2">
      <c r="A1" s="367" t="s">
        <v>298</v>
      </c>
      <c r="B1" s="368" t="s">
        <v>322</v>
      </c>
      <c r="C1" s="369" t="s">
        <v>299</v>
      </c>
      <c r="D1" s="369">
        <v>1</v>
      </c>
      <c r="E1" s="369" t="s">
        <v>300</v>
      </c>
      <c r="F1" s="370">
        <v>1644</v>
      </c>
      <c r="G1" s="371" t="s">
        <v>253</v>
      </c>
      <c r="H1" s="371">
        <v>10</v>
      </c>
      <c r="I1" s="371"/>
      <c r="J1" s="368" t="s">
        <v>301</v>
      </c>
      <c r="K1" s="372" t="s">
        <v>321</v>
      </c>
      <c r="M1" s="374">
        <f>8.88*1.21</f>
        <v>10.744800000000001</v>
      </c>
      <c r="N1" s="552" t="s">
        <v>972</v>
      </c>
    </row>
    <row r="2" spans="1:14" x14ac:dyDescent="0.2">
      <c r="A2" s="367" t="s">
        <v>298</v>
      </c>
      <c r="B2" s="368" t="s">
        <v>302</v>
      </c>
      <c r="C2" s="369" t="s">
        <v>303</v>
      </c>
      <c r="D2" s="369">
        <v>1</v>
      </c>
      <c r="E2" s="369" t="s">
        <v>300</v>
      </c>
      <c r="F2" s="370">
        <v>1419</v>
      </c>
      <c r="G2" s="371" t="s">
        <v>304</v>
      </c>
      <c r="H2" s="371">
        <v>9</v>
      </c>
      <c r="I2" s="371"/>
      <c r="J2" s="368" t="s">
        <v>305</v>
      </c>
      <c r="K2" s="372" t="s">
        <v>321</v>
      </c>
      <c r="M2" s="374">
        <f t="shared" ref="M2:M9" si="0">8.88*1.21</f>
        <v>10.744800000000001</v>
      </c>
      <c r="N2" s="552"/>
    </row>
    <row r="3" spans="1:14" s="375" customFormat="1" x14ac:dyDescent="0.2">
      <c r="A3" s="367" t="s">
        <v>298</v>
      </c>
      <c r="B3" s="368" t="s">
        <v>306</v>
      </c>
      <c r="C3" s="369" t="s">
        <v>307</v>
      </c>
      <c r="D3" s="369">
        <v>1</v>
      </c>
      <c r="E3" s="369" t="s">
        <v>300</v>
      </c>
      <c r="F3" s="370">
        <v>1100</v>
      </c>
      <c r="G3" s="371" t="s">
        <v>308</v>
      </c>
      <c r="H3" s="371">
        <v>5</v>
      </c>
      <c r="I3" s="371"/>
      <c r="J3" s="368" t="s">
        <v>309</v>
      </c>
      <c r="K3" s="372" t="s">
        <v>321</v>
      </c>
      <c r="M3" s="374">
        <f t="shared" si="0"/>
        <v>10.744800000000001</v>
      </c>
      <c r="N3" s="552"/>
    </row>
    <row r="4" spans="1:14" s="375" customFormat="1" x14ac:dyDescent="0.2">
      <c r="A4" s="367" t="s">
        <v>298</v>
      </c>
      <c r="B4" s="368" t="s">
        <v>306</v>
      </c>
      <c r="C4" s="369" t="s">
        <v>307</v>
      </c>
      <c r="D4" s="369">
        <v>1</v>
      </c>
      <c r="E4" s="369" t="s">
        <v>300</v>
      </c>
      <c r="F4" s="370">
        <v>1100</v>
      </c>
      <c r="G4" s="371" t="s">
        <v>308</v>
      </c>
      <c r="H4" s="371">
        <v>5</v>
      </c>
      <c r="I4" s="371"/>
      <c r="J4" s="368" t="s">
        <v>310</v>
      </c>
      <c r="K4" s="372" t="s">
        <v>321</v>
      </c>
      <c r="M4" s="374">
        <f t="shared" si="0"/>
        <v>10.744800000000001</v>
      </c>
      <c r="N4" s="552"/>
    </row>
    <row r="5" spans="1:14" s="375" customFormat="1" x14ac:dyDescent="0.2">
      <c r="A5" s="367" t="s">
        <v>298</v>
      </c>
      <c r="B5" s="368" t="s">
        <v>306</v>
      </c>
      <c r="C5" s="369" t="s">
        <v>307</v>
      </c>
      <c r="D5" s="369">
        <v>1</v>
      </c>
      <c r="E5" s="369" t="s">
        <v>300</v>
      </c>
      <c r="F5" s="370">
        <v>1100</v>
      </c>
      <c r="G5" s="371" t="s">
        <v>308</v>
      </c>
      <c r="H5" s="371">
        <v>5</v>
      </c>
      <c r="I5" s="371"/>
      <c r="J5" s="368" t="s">
        <v>311</v>
      </c>
      <c r="K5" s="372" t="s">
        <v>321</v>
      </c>
      <c r="M5" s="374">
        <f t="shared" si="0"/>
        <v>10.744800000000001</v>
      </c>
      <c r="N5" s="552"/>
    </row>
    <row r="6" spans="1:14" s="375" customFormat="1" x14ac:dyDescent="0.2">
      <c r="A6" s="367" t="s">
        <v>298</v>
      </c>
      <c r="B6" s="368" t="s">
        <v>312</v>
      </c>
      <c r="C6" s="369" t="s">
        <v>313</v>
      </c>
      <c r="D6" s="369">
        <v>1</v>
      </c>
      <c r="E6" s="369" t="s">
        <v>300</v>
      </c>
      <c r="F6" s="370">
        <v>1146</v>
      </c>
      <c r="G6" s="371" t="s">
        <v>314</v>
      </c>
      <c r="H6" s="371">
        <v>6</v>
      </c>
      <c r="I6" s="371"/>
      <c r="J6" s="368" t="s">
        <v>315</v>
      </c>
      <c r="K6" s="372" t="s">
        <v>321</v>
      </c>
      <c r="M6" s="374">
        <f t="shared" si="0"/>
        <v>10.744800000000001</v>
      </c>
      <c r="N6" s="552"/>
    </row>
    <row r="7" spans="1:14" s="375" customFormat="1" x14ac:dyDescent="0.2">
      <c r="A7" s="367" t="s">
        <v>298</v>
      </c>
      <c r="B7" s="368" t="s">
        <v>312</v>
      </c>
      <c r="C7" s="369" t="s">
        <v>313</v>
      </c>
      <c r="D7" s="369">
        <v>1</v>
      </c>
      <c r="E7" s="369" t="s">
        <v>300</v>
      </c>
      <c r="F7" s="370">
        <v>1146</v>
      </c>
      <c r="G7" s="371" t="s">
        <v>314</v>
      </c>
      <c r="H7" s="371">
        <v>6</v>
      </c>
      <c r="I7" s="371"/>
      <c r="J7" s="368" t="s">
        <v>316</v>
      </c>
      <c r="K7" s="372" t="s">
        <v>321</v>
      </c>
      <c r="M7" s="374">
        <f t="shared" si="0"/>
        <v>10.744800000000001</v>
      </c>
      <c r="N7" s="552"/>
    </row>
    <row r="8" spans="1:14" s="375" customFormat="1" x14ac:dyDescent="0.2">
      <c r="A8" s="367" t="s">
        <v>298</v>
      </c>
      <c r="B8" s="368" t="s">
        <v>317</v>
      </c>
      <c r="C8" s="369" t="s">
        <v>318</v>
      </c>
      <c r="D8" s="369">
        <v>0.5</v>
      </c>
      <c r="E8" s="369" t="s">
        <v>300</v>
      </c>
      <c r="F8" s="370">
        <v>663</v>
      </c>
      <c r="G8" s="371" t="s">
        <v>277</v>
      </c>
      <c r="H8" s="371">
        <v>9</v>
      </c>
      <c r="I8" s="371"/>
      <c r="J8" s="368" t="s">
        <v>319</v>
      </c>
      <c r="K8" s="372" t="s">
        <v>321</v>
      </c>
      <c r="M8" s="374">
        <f t="shared" si="0"/>
        <v>10.744800000000001</v>
      </c>
      <c r="N8" s="552"/>
    </row>
    <row r="9" spans="1:14" s="375" customFormat="1" x14ac:dyDescent="0.2">
      <c r="A9" s="367" t="s">
        <v>328</v>
      </c>
      <c r="B9" s="367" t="s">
        <v>320</v>
      </c>
      <c r="C9" s="369" t="s">
        <v>325</v>
      </c>
      <c r="D9" s="369">
        <v>1</v>
      </c>
      <c r="E9" s="369" t="s">
        <v>300</v>
      </c>
      <c r="F9" s="370">
        <v>1340</v>
      </c>
      <c r="G9" s="371" t="s">
        <v>326</v>
      </c>
      <c r="H9" s="371">
        <v>9</v>
      </c>
      <c r="I9" s="371"/>
      <c r="J9" s="376" t="s">
        <v>327</v>
      </c>
      <c r="K9" s="372" t="s">
        <v>321</v>
      </c>
      <c r="M9" s="374">
        <f t="shared" si="0"/>
        <v>10.744800000000001</v>
      </c>
      <c r="N9" s="552"/>
    </row>
    <row r="10" spans="1:14" x14ac:dyDescent="0.2">
      <c r="E10" s="375" t="s">
        <v>323</v>
      </c>
      <c r="F10" s="377">
        <f>SUM(F1:F9)</f>
        <v>10658</v>
      </c>
      <c r="L10" s="379" t="s">
        <v>973</v>
      </c>
      <c r="M10" s="374">
        <f>SUM(M1:M9)</f>
        <v>96.703199999999995</v>
      </c>
      <c r="N10" s="374">
        <f>29.82*1.21</f>
        <v>36.0822</v>
      </c>
    </row>
    <row r="11" spans="1:14" ht="13.5" thickBot="1" x14ac:dyDescent="0.25">
      <c r="E11" s="381" t="s">
        <v>132</v>
      </c>
      <c r="F11" s="377">
        <f>F10</f>
        <v>10658</v>
      </c>
      <c r="L11" s="379" t="s">
        <v>153</v>
      </c>
      <c r="M11" s="373">
        <f>M10*12</f>
        <v>1160.4384</v>
      </c>
      <c r="N11" s="374">
        <f>N10*12</f>
        <v>432.9864</v>
      </c>
    </row>
    <row r="12" spans="1:14" ht="13.5" thickBot="1" x14ac:dyDescent="0.25">
      <c r="E12" s="380" t="s">
        <v>153</v>
      </c>
      <c r="F12" s="383">
        <f>F11*12</f>
        <v>127896</v>
      </c>
      <c r="L12" s="373" t="s">
        <v>974</v>
      </c>
      <c r="M12" s="382">
        <f>M11+N11</f>
        <v>1593.4248</v>
      </c>
    </row>
    <row r="13" spans="1:14" x14ac:dyDescent="0.2">
      <c r="E13" s="380" t="s">
        <v>154</v>
      </c>
      <c r="F13" s="383">
        <f>F10/2</f>
        <v>5329</v>
      </c>
      <c r="G13" s="384"/>
    </row>
    <row r="14" spans="1:14" x14ac:dyDescent="0.2">
      <c r="E14" s="380" t="s">
        <v>324</v>
      </c>
      <c r="F14" s="383">
        <f>9*500</f>
        <v>4500</v>
      </c>
    </row>
    <row r="15" spans="1:14" s="386" customFormat="1" x14ac:dyDescent="0.2">
      <c r="A15" s="385"/>
      <c r="B15" s="385"/>
      <c r="C15" s="385"/>
      <c r="D15" s="385"/>
      <c r="E15" s="387" t="s">
        <v>156</v>
      </c>
      <c r="F15" s="388">
        <f>SUM(F12:F14)</f>
        <v>137725</v>
      </c>
      <c r="G15" s="384"/>
      <c r="H15" s="385"/>
      <c r="I15" s="385"/>
      <c r="J15" s="385"/>
    </row>
    <row r="16" spans="1:14" x14ac:dyDescent="0.2">
      <c r="F16" s="389"/>
    </row>
    <row r="17" spans="1:19" x14ac:dyDescent="0.2">
      <c r="G17" s="384"/>
    </row>
    <row r="18" spans="1:19" x14ac:dyDescent="0.2">
      <c r="A18" s="390" t="s">
        <v>329</v>
      </c>
      <c r="B18" s="373"/>
      <c r="C18" s="391"/>
      <c r="D18" s="373"/>
      <c r="E18" s="373"/>
      <c r="F18" s="373"/>
      <c r="G18" s="373"/>
      <c r="H18" s="373"/>
      <c r="I18" s="373"/>
      <c r="J18" s="373"/>
    </row>
    <row r="19" spans="1:19" x14ac:dyDescent="0.2">
      <c r="A19" s="390"/>
      <c r="B19" s="373"/>
      <c r="C19" s="391"/>
      <c r="D19" s="373"/>
      <c r="E19" s="373"/>
      <c r="F19" s="373"/>
      <c r="G19" s="373"/>
      <c r="H19" s="373"/>
      <c r="I19" s="373"/>
      <c r="J19" s="373"/>
    </row>
    <row r="20" spans="1:19" ht="63.6" customHeight="1" x14ac:dyDescent="0.2">
      <c r="A20" s="392"/>
      <c r="B20" s="392"/>
      <c r="C20" s="392"/>
      <c r="D20" s="392"/>
      <c r="E20" s="393" t="s">
        <v>148</v>
      </c>
      <c r="F20" s="393" t="s">
        <v>250</v>
      </c>
      <c r="G20" s="394" t="s">
        <v>251</v>
      </c>
      <c r="H20" s="394" t="s">
        <v>252</v>
      </c>
      <c r="I20" s="394" t="s">
        <v>340</v>
      </c>
      <c r="J20" s="393" t="s">
        <v>335</v>
      </c>
      <c r="K20" s="392"/>
      <c r="M20" s="435" t="s">
        <v>1142</v>
      </c>
      <c r="N20" s="433" t="s">
        <v>1143</v>
      </c>
      <c r="O20" s="434"/>
      <c r="P20" s="434"/>
    </row>
    <row r="21" spans="1:19" x14ac:dyDescent="0.2">
      <c r="A21" s="395">
        <v>1100</v>
      </c>
      <c r="B21" s="396" t="s">
        <v>334</v>
      </c>
      <c r="C21" s="397" t="s">
        <v>282</v>
      </c>
      <c r="D21" s="398" t="s">
        <v>330</v>
      </c>
      <c r="E21" s="399">
        <v>2449</v>
      </c>
      <c r="F21" s="400">
        <f t="shared" ref="F21:F25" si="1">E21/21/8</f>
        <v>14.577380952380953</v>
      </c>
      <c r="G21" s="401">
        <f>F21/60</f>
        <v>0.2429563492063492</v>
      </c>
      <c r="H21" s="402">
        <v>20</v>
      </c>
      <c r="I21" s="402">
        <f>H21*35</f>
        <v>700</v>
      </c>
      <c r="J21" s="403">
        <f>I21*G21</f>
        <v>170.06944444444443</v>
      </c>
      <c r="K21" s="404" t="s">
        <v>237</v>
      </c>
      <c r="M21" s="434">
        <v>435.5</v>
      </c>
      <c r="N21" s="434" t="s">
        <v>1145</v>
      </c>
      <c r="O21" s="434"/>
      <c r="P21" s="434"/>
    </row>
    <row r="22" spans="1:19" ht="78.75" x14ac:dyDescent="0.25">
      <c r="A22" s="395">
        <v>1100</v>
      </c>
      <c r="B22" s="395" t="s">
        <v>255</v>
      </c>
      <c r="C22" s="405" t="s">
        <v>256</v>
      </c>
      <c r="D22" s="405" t="s">
        <v>257</v>
      </c>
      <c r="E22" s="399">
        <v>1250</v>
      </c>
      <c r="F22" s="400">
        <f t="shared" si="1"/>
        <v>7.4404761904761907</v>
      </c>
      <c r="G22" s="401">
        <f>F22/60</f>
        <v>0.12400793650793651</v>
      </c>
      <c r="H22" s="402">
        <v>30</v>
      </c>
      <c r="I22" s="402">
        <f>H22*35</f>
        <v>1050</v>
      </c>
      <c r="J22" s="403">
        <f t="shared" ref="J22:J25" si="2">I22*G22</f>
        <v>130.20833333333334</v>
      </c>
      <c r="K22" s="404" t="s">
        <v>237</v>
      </c>
      <c r="M22" s="181"/>
      <c r="N22" s="181"/>
      <c r="O22" s="181"/>
      <c r="P22" s="181"/>
      <c r="Q22" s="335" t="s">
        <v>148</v>
      </c>
      <c r="R22" s="276" t="s">
        <v>1146</v>
      </c>
      <c r="S22" s="276" t="s">
        <v>1148</v>
      </c>
    </row>
    <row r="23" spans="1:19" ht="30" x14ac:dyDescent="0.2">
      <c r="A23" s="395">
        <v>1100</v>
      </c>
      <c r="B23" s="395" t="s">
        <v>331</v>
      </c>
      <c r="C23" s="406" t="s">
        <v>212</v>
      </c>
      <c r="D23" s="405" t="s">
        <v>248</v>
      </c>
      <c r="E23" s="399">
        <v>1340</v>
      </c>
      <c r="F23" s="400">
        <f t="shared" si="1"/>
        <v>7.9761904761904763</v>
      </c>
      <c r="G23" s="401">
        <f>F23/60</f>
        <v>0.13293650793650794</v>
      </c>
      <c r="H23" s="402">
        <v>20</v>
      </c>
      <c r="I23" s="402">
        <f>H23*35</f>
        <v>700</v>
      </c>
      <c r="J23" s="403">
        <f t="shared" si="2"/>
        <v>93.055555555555557</v>
      </c>
      <c r="K23" s="404" t="s">
        <v>237</v>
      </c>
      <c r="M23" s="263">
        <v>1100</v>
      </c>
      <c r="N23" s="553" t="s">
        <v>1147</v>
      </c>
      <c r="O23" s="330" t="s">
        <v>1141</v>
      </c>
      <c r="P23" s="331" t="s">
        <v>304</v>
      </c>
      <c r="Q23" s="554">
        <v>1468</v>
      </c>
      <c r="R23" s="546">
        <v>0.29666212534059944</v>
      </c>
      <c r="S23" s="549">
        <f t="shared" ref="S23" si="3">R23*Q23</f>
        <v>435.5</v>
      </c>
    </row>
    <row r="24" spans="1:19" ht="15.75" x14ac:dyDescent="0.2">
      <c r="A24" s="395">
        <v>1100</v>
      </c>
      <c r="B24" s="395" t="s">
        <v>333</v>
      </c>
      <c r="C24" s="406" t="s">
        <v>322</v>
      </c>
      <c r="D24" s="398" t="s">
        <v>332</v>
      </c>
      <c r="E24" s="399">
        <v>2300</v>
      </c>
      <c r="F24" s="400">
        <f t="shared" si="1"/>
        <v>13.69047619047619</v>
      </c>
      <c r="G24" s="401">
        <f>F24/60</f>
        <v>0.22817460317460317</v>
      </c>
      <c r="H24" s="402">
        <v>20</v>
      </c>
      <c r="I24" s="402">
        <f>H24*35</f>
        <v>700</v>
      </c>
      <c r="J24" s="403">
        <f t="shared" si="2"/>
        <v>159.72222222222223</v>
      </c>
      <c r="K24" s="404" t="s">
        <v>237</v>
      </c>
      <c r="M24" s="263">
        <v>1100</v>
      </c>
      <c r="N24" s="553"/>
      <c r="O24" s="330" t="s">
        <v>1144</v>
      </c>
      <c r="P24" s="331" t="s">
        <v>253</v>
      </c>
      <c r="Q24" s="555"/>
      <c r="R24" s="547"/>
      <c r="S24" s="550"/>
    </row>
    <row r="25" spans="1:19" ht="47.25" x14ac:dyDescent="0.2">
      <c r="A25" s="395">
        <v>1100</v>
      </c>
      <c r="B25" s="395" t="s">
        <v>339</v>
      </c>
      <c r="C25" s="406" t="s">
        <v>338</v>
      </c>
      <c r="D25" s="398">
        <v>15</v>
      </c>
      <c r="E25" s="399">
        <v>5500</v>
      </c>
      <c r="F25" s="400">
        <f t="shared" si="1"/>
        <v>32.738095238095241</v>
      </c>
      <c r="G25" s="401">
        <f>F25/60</f>
        <v>0.54563492063492069</v>
      </c>
      <c r="H25" s="402">
        <v>5</v>
      </c>
      <c r="I25" s="402">
        <f>H25*35</f>
        <v>175</v>
      </c>
      <c r="J25" s="403">
        <f t="shared" si="2"/>
        <v>95.486111111111128</v>
      </c>
      <c r="K25" s="404" t="s">
        <v>237</v>
      </c>
      <c r="M25" s="263">
        <v>1100</v>
      </c>
      <c r="N25" s="553"/>
      <c r="O25" s="332" t="s">
        <v>320</v>
      </c>
      <c r="P25" s="331" t="s">
        <v>326</v>
      </c>
      <c r="Q25" s="556"/>
      <c r="R25" s="548"/>
      <c r="S25" s="551"/>
    </row>
    <row r="26" spans="1:19" ht="13.5" thickBot="1" x14ac:dyDescent="0.25">
      <c r="C26" s="373"/>
      <c r="D26" s="407"/>
      <c r="E26" s="373"/>
      <c r="J26" s="408">
        <f>SUM(J21:J25)</f>
        <v>648.54166666666663</v>
      </c>
      <c r="K26" s="409" t="s">
        <v>336</v>
      </c>
      <c r="M26" s="434"/>
      <c r="N26" s="434"/>
      <c r="O26" s="434"/>
      <c r="P26" s="434"/>
    </row>
    <row r="27" spans="1:19" ht="13.5" thickBot="1" x14ac:dyDescent="0.25">
      <c r="J27" s="410">
        <f>J26*12</f>
        <v>7782.5</v>
      </c>
      <c r="K27" s="411" t="s">
        <v>337</v>
      </c>
    </row>
    <row r="30" spans="1:19" x14ac:dyDescent="0.2">
      <c r="A30" s="375" t="s">
        <v>382</v>
      </c>
    </row>
    <row r="31" spans="1:19" x14ac:dyDescent="0.2">
      <c r="A31" s="412" t="s">
        <v>341</v>
      </c>
      <c r="B31" s="413">
        <v>45296</v>
      </c>
      <c r="C31" s="412" t="s">
        <v>342</v>
      </c>
      <c r="D31" s="412" t="s">
        <v>343</v>
      </c>
      <c r="E31" s="414" t="s">
        <v>344</v>
      </c>
      <c r="F31" s="414" t="s">
        <v>344</v>
      </c>
      <c r="G31" s="412" t="s">
        <v>345</v>
      </c>
      <c r="H31" s="412" t="s">
        <v>346</v>
      </c>
      <c r="I31" s="413">
        <v>45296</v>
      </c>
      <c r="J31" s="415">
        <v>1310.4000000000001</v>
      </c>
      <c r="K31" s="412" t="s">
        <v>5</v>
      </c>
      <c r="L31" s="412" t="s">
        <v>347</v>
      </c>
      <c r="M31" s="412" t="s">
        <v>348</v>
      </c>
    </row>
    <row r="32" spans="1:19" x14ac:dyDescent="0.2">
      <c r="A32" s="412" t="s">
        <v>341</v>
      </c>
      <c r="B32" s="413">
        <v>45336</v>
      </c>
      <c r="C32" s="412" t="s">
        <v>349</v>
      </c>
      <c r="D32" s="412" t="s">
        <v>343</v>
      </c>
      <c r="E32" s="414" t="s">
        <v>350</v>
      </c>
      <c r="F32" s="414" t="s">
        <v>350</v>
      </c>
      <c r="G32" s="412" t="s">
        <v>345</v>
      </c>
      <c r="H32" s="412" t="s">
        <v>351</v>
      </c>
      <c r="I32" s="413">
        <v>45336</v>
      </c>
      <c r="J32" s="415">
        <v>1112.6400000000001</v>
      </c>
      <c r="K32" s="412" t="s">
        <v>5</v>
      </c>
      <c r="L32" s="412" t="s">
        <v>347</v>
      </c>
      <c r="M32" s="412" t="s">
        <v>348</v>
      </c>
    </row>
    <row r="33" spans="1:13" x14ac:dyDescent="0.2">
      <c r="A33" s="412" t="s">
        <v>341</v>
      </c>
      <c r="B33" s="413">
        <v>45366</v>
      </c>
      <c r="C33" s="412" t="s">
        <v>352</v>
      </c>
      <c r="D33" s="412" t="s">
        <v>343</v>
      </c>
      <c r="E33" s="414" t="s">
        <v>353</v>
      </c>
      <c r="F33" s="414" t="s">
        <v>353</v>
      </c>
      <c r="G33" s="412" t="s">
        <v>345</v>
      </c>
      <c r="H33" s="412" t="s">
        <v>354</v>
      </c>
      <c r="I33" s="413">
        <v>45366</v>
      </c>
      <c r="J33" s="415">
        <v>1620.6</v>
      </c>
      <c r="K33" s="412" t="s">
        <v>5</v>
      </c>
      <c r="L33" s="412" t="s">
        <v>347</v>
      </c>
      <c r="M33" s="412" t="s">
        <v>348</v>
      </c>
    </row>
    <row r="34" spans="1:13" x14ac:dyDescent="0.2">
      <c r="A34" s="412" t="s">
        <v>341</v>
      </c>
      <c r="B34" s="413">
        <v>45390</v>
      </c>
      <c r="C34" s="412" t="s">
        <v>355</v>
      </c>
      <c r="D34" s="412" t="s">
        <v>343</v>
      </c>
      <c r="E34" s="414" t="s">
        <v>356</v>
      </c>
      <c r="F34" s="414" t="s">
        <v>356</v>
      </c>
      <c r="G34" s="412" t="s">
        <v>345</v>
      </c>
      <c r="H34" s="412" t="s">
        <v>357</v>
      </c>
      <c r="I34" s="413">
        <v>45390</v>
      </c>
      <c r="J34" s="415">
        <v>5360.64</v>
      </c>
      <c r="K34" s="412" t="s">
        <v>5</v>
      </c>
      <c r="L34" s="412" t="s">
        <v>347</v>
      </c>
      <c r="M34" s="412" t="s">
        <v>348</v>
      </c>
    </row>
    <row r="35" spans="1:13" x14ac:dyDescent="0.2">
      <c r="A35" s="412" t="s">
        <v>341</v>
      </c>
      <c r="B35" s="413">
        <v>45426</v>
      </c>
      <c r="C35" s="412" t="s">
        <v>358</v>
      </c>
      <c r="D35" s="412" t="s">
        <v>343</v>
      </c>
      <c r="E35" s="414" t="s">
        <v>359</v>
      </c>
      <c r="F35" s="414" t="s">
        <v>359</v>
      </c>
      <c r="G35" s="412" t="s">
        <v>345</v>
      </c>
      <c r="H35" s="412" t="s">
        <v>360</v>
      </c>
      <c r="I35" s="413">
        <v>45427</v>
      </c>
      <c r="J35" s="415">
        <v>3711.36</v>
      </c>
      <c r="K35" s="412" t="s">
        <v>5</v>
      </c>
      <c r="L35" s="412" t="s">
        <v>347</v>
      </c>
      <c r="M35" s="412" t="s">
        <v>348</v>
      </c>
    </row>
    <row r="36" spans="1:13" x14ac:dyDescent="0.2">
      <c r="A36" s="412" t="s">
        <v>341</v>
      </c>
      <c r="B36" s="413">
        <v>45456</v>
      </c>
      <c r="C36" s="412" t="s">
        <v>361</v>
      </c>
      <c r="D36" s="412" t="s">
        <v>343</v>
      </c>
      <c r="E36" s="414" t="s">
        <v>362</v>
      </c>
      <c r="F36" s="414" t="s">
        <v>362</v>
      </c>
      <c r="G36" s="412" t="s">
        <v>345</v>
      </c>
      <c r="H36" s="412" t="s">
        <v>363</v>
      </c>
      <c r="I36" s="413">
        <v>45456</v>
      </c>
      <c r="J36" s="415">
        <v>6796.2</v>
      </c>
      <c r="K36" s="412" t="s">
        <v>5</v>
      </c>
      <c r="L36" s="412" t="s">
        <v>347</v>
      </c>
      <c r="M36" s="412" t="s">
        <v>348</v>
      </c>
    </row>
    <row r="37" spans="1:13" x14ac:dyDescent="0.2">
      <c r="A37" s="412" t="s">
        <v>341</v>
      </c>
      <c r="B37" s="413">
        <v>45488</v>
      </c>
      <c r="C37" s="412" t="s">
        <v>364</v>
      </c>
      <c r="D37" s="412" t="s">
        <v>343</v>
      </c>
      <c r="E37" s="414" t="s">
        <v>365</v>
      </c>
      <c r="F37" s="414" t="s">
        <v>365</v>
      </c>
      <c r="G37" s="412" t="s">
        <v>345</v>
      </c>
      <c r="H37" s="412" t="s">
        <v>366</v>
      </c>
      <c r="I37" s="413">
        <v>45489</v>
      </c>
      <c r="J37" s="415">
        <v>4720.92</v>
      </c>
      <c r="K37" s="412" t="s">
        <v>5</v>
      </c>
      <c r="L37" s="412" t="s">
        <v>347</v>
      </c>
      <c r="M37" s="412" t="s">
        <v>348</v>
      </c>
    </row>
    <row r="38" spans="1:13" x14ac:dyDescent="0.2">
      <c r="A38" s="412" t="s">
        <v>341</v>
      </c>
      <c r="B38" s="413">
        <v>45516</v>
      </c>
      <c r="C38" s="412" t="s">
        <v>367</v>
      </c>
      <c r="D38" s="412" t="s">
        <v>343</v>
      </c>
      <c r="E38" s="414" t="s">
        <v>368</v>
      </c>
      <c r="F38" s="414" t="s">
        <v>368</v>
      </c>
      <c r="G38" s="412" t="s">
        <v>345</v>
      </c>
      <c r="H38" s="412" t="s">
        <v>369</v>
      </c>
      <c r="I38" s="413">
        <v>45516</v>
      </c>
      <c r="J38" s="415">
        <v>6342.72</v>
      </c>
      <c r="K38" s="412" t="s">
        <v>5</v>
      </c>
      <c r="L38" s="412" t="s">
        <v>347</v>
      </c>
      <c r="M38" s="412" t="s">
        <v>348</v>
      </c>
    </row>
    <row r="39" spans="1:13" x14ac:dyDescent="0.2">
      <c r="A39" s="412" t="s">
        <v>341</v>
      </c>
      <c r="B39" s="413">
        <v>45553</v>
      </c>
      <c r="C39" s="412" t="s">
        <v>370</v>
      </c>
      <c r="D39" s="412" t="s">
        <v>343</v>
      </c>
      <c r="E39" s="414" t="s">
        <v>371</v>
      </c>
      <c r="F39" s="414" t="s">
        <v>371</v>
      </c>
      <c r="G39" s="412" t="s">
        <v>345</v>
      </c>
      <c r="H39" s="412" t="s">
        <v>372</v>
      </c>
      <c r="I39" s="413">
        <v>45554</v>
      </c>
      <c r="J39" s="415">
        <v>7330.2</v>
      </c>
      <c r="K39" s="412" t="s">
        <v>5</v>
      </c>
      <c r="L39" s="412" t="s">
        <v>347</v>
      </c>
      <c r="M39" s="412" t="s">
        <v>348</v>
      </c>
    </row>
    <row r="40" spans="1:13" x14ac:dyDescent="0.2">
      <c r="A40" s="412" t="s">
        <v>341</v>
      </c>
      <c r="B40" s="413">
        <v>45581</v>
      </c>
      <c r="C40" s="412" t="s">
        <v>373</v>
      </c>
      <c r="D40" s="412" t="s">
        <v>343</v>
      </c>
      <c r="E40" s="414" t="s">
        <v>374</v>
      </c>
      <c r="F40" s="414" t="s">
        <v>374</v>
      </c>
      <c r="G40" s="412" t="s">
        <v>345</v>
      </c>
      <c r="H40" s="412" t="s">
        <v>375</v>
      </c>
      <c r="I40" s="413">
        <v>45581</v>
      </c>
      <c r="J40" s="415">
        <v>7577.16</v>
      </c>
      <c r="K40" s="412" t="s">
        <v>5</v>
      </c>
      <c r="L40" s="412" t="s">
        <v>347</v>
      </c>
      <c r="M40" s="412" t="s">
        <v>348</v>
      </c>
    </row>
    <row r="41" spans="1:13" x14ac:dyDescent="0.2">
      <c r="A41" s="412" t="s">
        <v>341</v>
      </c>
      <c r="B41" s="413">
        <v>45611</v>
      </c>
      <c r="C41" s="412" t="s">
        <v>376</v>
      </c>
      <c r="D41" s="412" t="s">
        <v>343</v>
      </c>
      <c r="E41" s="414" t="s">
        <v>377</v>
      </c>
      <c r="F41" s="414" t="s">
        <v>377</v>
      </c>
      <c r="G41" s="412" t="s">
        <v>345</v>
      </c>
      <c r="H41" s="412" t="s">
        <v>378</v>
      </c>
      <c r="I41" s="413">
        <v>45611</v>
      </c>
      <c r="J41" s="415">
        <v>10272.120000000001</v>
      </c>
      <c r="K41" s="412" t="s">
        <v>5</v>
      </c>
      <c r="L41" s="412" t="s">
        <v>347</v>
      </c>
      <c r="M41" s="412" t="s">
        <v>348</v>
      </c>
    </row>
    <row r="42" spans="1:13" ht="13.5" thickBot="1" x14ac:dyDescent="0.25">
      <c r="A42" s="412" t="s">
        <v>341</v>
      </c>
      <c r="B42" s="413">
        <v>45644</v>
      </c>
      <c r="C42" s="412" t="s">
        <v>379</v>
      </c>
      <c r="D42" s="412" t="s">
        <v>343</v>
      </c>
      <c r="E42" s="414" t="s">
        <v>380</v>
      </c>
      <c r="F42" s="414" t="s">
        <v>380</v>
      </c>
      <c r="G42" s="412" t="s">
        <v>345</v>
      </c>
      <c r="H42" s="412" t="s">
        <v>381</v>
      </c>
      <c r="I42" s="413">
        <v>45644</v>
      </c>
      <c r="J42" s="415">
        <v>1430.16</v>
      </c>
      <c r="K42" s="412" t="s">
        <v>5</v>
      </c>
      <c r="L42" s="412" t="s">
        <v>347</v>
      </c>
      <c r="M42" s="412" t="s">
        <v>348</v>
      </c>
    </row>
    <row r="43" spans="1:13" ht="13.5" thickBot="1" x14ac:dyDescent="0.25">
      <c r="J43" s="416">
        <f>SUM(J31:J42)</f>
        <v>57585.120000000003</v>
      </c>
    </row>
    <row r="45" spans="1:13" x14ac:dyDescent="0.2">
      <c r="A45" s="412" t="s">
        <v>341</v>
      </c>
      <c r="B45" s="413">
        <v>45295</v>
      </c>
      <c r="C45" s="412" t="s">
        <v>383</v>
      </c>
      <c r="D45" s="412" t="s">
        <v>384</v>
      </c>
      <c r="E45" s="414" t="s">
        <v>385</v>
      </c>
      <c r="F45" s="414" t="s">
        <v>385</v>
      </c>
      <c r="G45" s="412" t="s">
        <v>345</v>
      </c>
      <c r="H45" s="412" t="s">
        <v>386</v>
      </c>
      <c r="I45" s="413">
        <v>45295</v>
      </c>
      <c r="J45" s="415">
        <v>29.74</v>
      </c>
      <c r="K45" s="412" t="s">
        <v>5</v>
      </c>
      <c r="L45" s="412" t="s">
        <v>347</v>
      </c>
      <c r="M45" s="412" t="s">
        <v>387</v>
      </c>
    </row>
    <row r="46" spans="1:13" x14ac:dyDescent="0.2">
      <c r="A46" s="412" t="s">
        <v>341</v>
      </c>
      <c r="B46" s="413">
        <v>45295</v>
      </c>
      <c r="C46" s="412" t="s">
        <v>383</v>
      </c>
      <c r="D46" s="412" t="s">
        <v>384</v>
      </c>
      <c r="E46" s="414" t="s">
        <v>385</v>
      </c>
      <c r="F46" s="414" t="s">
        <v>385</v>
      </c>
      <c r="G46" s="412" t="s">
        <v>345</v>
      </c>
      <c r="H46" s="412" t="s">
        <v>386</v>
      </c>
      <c r="I46" s="413">
        <v>45295</v>
      </c>
      <c r="J46" s="415">
        <v>92.61</v>
      </c>
      <c r="K46" s="412" t="s">
        <v>5</v>
      </c>
      <c r="L46" s="412" t="s">
        <v>347</v>
      </c>
      <c r="M46" s="412" t="s">
        <v>387</v>
      </c>
    </row>
    <row r="47" spans="1:13" x14ac:dyDescent="0.2">
      <c r="A47" s="412" t="s">
        <v>341</v>
      </c>
      <c r="B47" s="413">
        <v>45295</v>
      </c>
      <c r="C47" s="412" t="s">
        <v>383</v>
      </c>
      <c r="D47" s="412" t="s">
        <v>384</v>
      </c>
      <c r="E47" s="414" t="s">
        <v>385</v>
      </c>
      <c r="F47" s="414" t="s">
        <v>385</v>
      </c>
      <c r="G47" s="412" t="s">
        <v>345</v>
      </c>
      <c r="H47" s="412" t="s">
        <v>386</v>
      </c>
      <c r="I47" s="413">
        <v>45295</v>
      </c>
      <c r="J47" s="415">
        <v>36.75</v>
      </c>
      <c r="K47" s="412" t="s">
        <v>5</v>
      </c>
      <c r="L47" s="412" t="s">
        <v>347</v>
      </c>
      <c r="M47" s="412" t="s">
        <v>387</v>
      </c>
    </row>
    <row r="48" spans="1:13" x14ac:dyDescent="0.2">
      <c r="A48" s="412" t="s">
        <v>341</v>
      </c>
      <c r="B48" s="413">
        <v>45295</v>
      </c>
      <c r="C48" s="412" t="s">
        <v>388</v>
      </c>
      <c r="D48" s="412" t="s">
        <v>389</v>
      </c>
      <c r="E48" s="414" t="s">
        <v>390</v>
      </c>
      <c r="F48" s="414" t="s">
        <v>390</v>
      </c>
      <c r="G48" s="412" t="s">
        <v>345</v>
      </c>
      <c r="H48" s="412" t="s">
        <v>391</v>
      </c>
      <c r="I48" s="413">
        <v>45295</v>
      </c>
      <c r="J48" s="415">
        <v>70</v>
      </c>
      <c r="K48" s="412" t="s">
        <v>5</v>
      </c>
      <c r="L48" s="412" t="s">
        <v>347</v>
      </c>
      <c r="M48" s="412" t="s">
        <v>387</v>
      </c>
    </row>
    <row r="49" spans="1:13" x14ac:dyDescent="0.2">
      <c r="A49" s="412" t="s">
        <v>341</v>
      </c>
      <c r="B49" s="413">
        <v>45295</v>
      </c>
      <c r="C49" s="412" t="s">
        <v>392</v>
      </c>
      <c r="D49" s="412" t="s">
        <v>393</v>
      </c>
      <c r="E49" s="414" t="s">
        <v>394</v>
      </c>
      <c r="F49" s="414" t="s">
        <v>394</v>
      </c>
      <c r="G49" s="412" t="s">
        <v>345</v>
      </c>
      <c r="H49" s="412" t="s">
        <v>395</v>
      </c>
      <c r="I49" s="413">
        <v>45295</v>
      </c>
      <c r="J49" s="415">
        <v>24.74</v>
      </c>
      <c r="K49" s="412" t="s">
        <v>5</v>
      </c>
      <c r="L49" s="412" t="s">
        <v>347</v>
      </c>
      <c r="M49" s="412" t="s">
        <v>387</v>
      </c>
    </row>
    <row r="50" spans="1:13" x14ac:dyDescent="0.2">
      <c r="A50" s="412" t="s">
        <v>341</v>
      </c>
      <c r="B50" s="413">
        <v>45295</v>
      </c>
      <c r="C50" s="412" t="s">
        <v>396</v>
      </c>
      <c r="D50" s="412" t="s">
        <v>397</v>
      </c>
      <c r="E50" s="414" t="s">
        <v>398</v>
      </c>
      <c r="F50" s="414" t="s">
        <v>398</v>
      </c>
      <c r="G50" s="412" t="s">
        <v>345</v>
      </c>
      <c r="H50" s="412" t="s">
        <v>399</v>
      </c>
      <c r="I50" s="413">
        <v>45295</v>
      </c>
      <c r="J50" s="415">
        <v>231.35</v>
      </c>
      <c r="K50" s="412" t="s">
        <v>5</v>
      </c>
      <c r="L50" s="412" t="s">
        <v>347</v>
      </c>
      <c r="M50" s="412" t="s">
        <v>387</v>
      </c>
    </row>
    <row r="51" spans="1:13" x14ac:dyDescent="0.2">
      <c r="A51" s="412" t="s">
        <v>341</v>
      </c>
      <c r="B51" s="413">
        <v>45295</v>
      </c>
      <c r="C51" s="412" t="s">
        <v>400</v>
      </c>
      <c r="D51" s="412" t="s">
        <v>393</v>
      </c>
      <c r="E51" s="414" t="s">
        <v>394</v>
      </c>
      <c r="F51" s="414" t="s">
        <v>394</v>
      </c>
      <c r="G51" s="412" t="s">
        <v>345</v>
      </c>
      <c r="H51" s="412" t="s">
        <v>401</v>
      </c>
      <c r="I51" s="413">
        <v>45295</v>
      </c>
      <c r="J51" s="415">
        <v>24.74</v>
      </c>
      <c r="K51" s="412" t="s">
        <v>5</v>
      </c>
      <c r="L51" s="412" t="s">
        <v>347</v>
      </c>
      <c r="M51" s="412" t="s">
        <v>387</v>
      </c>
    </row>
    <row r="52" spans="1:13" x14ac:dyDescent="0.2">
      <c r="A52" s="412" t="s">
        <v>341</v>
      </c>
      <c r="B52" s="413">
        <v>45295</v>
      </c>
      <c r="C52" s="412" t="s">
        <v>402</v>
      </c>
      <c r="D52" s="412" t="s">
        <v>403</v>
      </c>
      <c r="E52" s="414" t="s">
        <v>404</v>
      </c>
      <c r="F52" s="414" t="s">
        <v>404</v>
      </c>
      <c r="G52" s="412" t="s">
        <v>345</v>
      </c>
      <c r="H52" s="412" t="s">
        <v>405</v>
      </c>
      <c r="I52" s="413">
        <v>45295</v>
      </c>
      <c r="J52" s="415">
        <v>931.7</v>
      </c>
      <c r="K52" s="412" t="s">
        <v>5</v>
      </c>
      <c r="L52" s="412" t="s">
        <v>347</v>
      </c>
      <c r="M52" s="412" t="s">
        <v>387</v>
      </c>
    </row>
    <row r="53" spans="1:13" x14ac:dyDescent="0.2">
      <c r="A53" s="412" t="s">
        <v>341</v>
      </c>
      <c r="B53" s="413">
        <v>45295</v>
      </c>
      <c r="C53" s="412" t="s">
        <v>406</v>
      </c>
      <c r="D53" s="412" t="s">
        <v>389</v>
      </c>
      <c r="E53" s="414" t="s">
        <v>390</v>
      </c>
      <c r="F53" s="414" t="s">
        <v>390</v>
      </c>
      <c r="G53" s="412" t="s">
        <v>345</v>
      </c>
      <c r="H53" s="412" t="s">
        <v>407</v>
      </c>
      <c r="I53" s="413">
        <v>45295</v>
      </c>
      <c r="J53" s="415">
        <v>70</v>
      </c>
      <c r="K53" s="412" t="s">
        <v>5</v>
      </c>
      <c r="L53" s="412" t="s">
        <v>347</v>
      </c>
      <c r="M53" s="412" t="s">
        <v>387</v>
      </c>
    </row>
    <row r="54" spans="1:13" x14ac:dyDescent="0.2">
      <c r="A54" s="412" t="s">
        <v>341</v>
      </c>
      <c r="B54" s="413">
        <v>45309</v>
      </c>
      <c r="C54" s="412" t="s">
        <v>408</v>
      </c>
      <c r="D54" s="412" t="s">
        <v>393</v>
      </c>
      <c r="E54" s="414" t="s">
        <v>394</v>
      </c>
      <c r="F54" s="414" t="s">
        <v>394</v>
      </c>
      <c r="G54" s="412" t="s">
        <v>345</v>
      </c>
      <c r="H54" s="412" t="s">
        <v>409</v>
      </c>
      <c r="I54" s="413">
        <v>45309</v>
      </c>
      <c r="J54" s="415">
        <v>24.74</v>
      </c>
      <c r="K54" s="412" t="s">
        <v>5</v>
      </c>
      <c r="L54" s="412" t="s">
        <v>347</v>
      </c>
      <c r="M54" s="412" t="s">
        <v>387</v>
      </c>
    </row>
    <row r="55" spans="1:13" x14ac:dyDescent="0.2">
      <c r="A55" s="412" t="s">
        <v>341</v>
      </c>
      <c r="B55" s="413">
        <v>45309</v>
      </c>
      <c r="C55" s="412" t="s">
        <v>410</v>
      </c>
      <c r="D55" s="412" t="s">
        <v>393</v>
      </c>
      <c r="E55" s="414" t="s">
        <v>394</v>
      </c>
      <c r="F55" s="414" t="s">
        <v>394</v>
      </c>
      <c r="G55" s="412" t="s">
        <v>345</v>
      </c>
      <c r="H55" s="412" t="s">
        <v>411</v>
      </c>
      <c r="I55" s="413">
        <v>45309</v>
      </c>
      <c r="J55" s="415">
        <v>24.74</v>
      </c>
      <c r="K55" s="412" t="s">
        <v>5</v>
      </c>
      <c r="L55" s="412" t="s">
        <v>347</v>
      </c>
      <c r="M55" s="412" t="s">
        <v>387</v>
      </c>
    </row>
    <row r="56" spans="1:13" x14ac:dyDescent="0.2">
      <c r="A56" s="412" t="s">
        <v>341</v>
      </c>
      <c r="B56" s="413">
        <v>45310</v>
      </c>
      <c r="C56" s="412" t="s">
        <v>412</v>
      </c>
      <c r="D56" s="412" t="s">
        <v>389</v>
      </c>
      <c r="E56" s="414" t="s">
        <v>390</v>
      </c>
      <c r="F56" s="414" t="s">
        <v>390</v>
      </c>
      <c r="G56" s="412" t="s">
        <v>345</v>
      </c>
      <c r="H56" s="412" t="s">
        <v>413</v>
      </c>
      <c r="I56" s="413">
        <v>45310</v>
      </c>
      <c r="J56" s="415">
        <v>70</v>
      </c>
      <c r="K56" s="412" t="s">
        <v>5</v>
      </c>
      <c r="L56" s="412" t="s">
        <v>347</v>
      </c>
      <c r="M56" s="412" t="s">
        <v>387</v>
      </c>
    </row>
    <row r="57" spans="1:13" x14ac:dyDescent="0.2">
      <c r="A57" s="412" t="s">
        <v>341</v>
      </c>
      <c r="B57" s="413">
        <v>45310</v>
      </c>
      <c r="C57" s="412" t="s">
        <v>414</v>
      </c>
      <c r="D57" s="412" t="s">
        <v>393</v>
      </c>
      <c r="E57" s="414" t="s">
        <v>394</v>
      </c>
      <c r="F57" s="414" t="s">
        <v>394</v>
      </c>
      <c r="G57" s="412" t="s">
        <v>345</v>
      </c>
      <c r="H57" s="412" t="s">
        <v>415</v>
      </c>
      <c r="I57" s="413">
        <v>45310</v>
      </c>
      <c r="J57" s="415">
        <v>24.74</v>
      </c>
      <c r="K57" s="412" t="s">
        <v>5</v>
      </c>
      <c r="L57" s="412" t="s">
        <v>347</v>
      </c>
      <c r="M57" s="412" t="s">
        <v>387</v>
      </c>
    </row>
    <row r="58" spans="1:13" x14ac:dyDescent="0.2">
      <c r="A58" s="412" t="s">
        <v>341</v>
      </c>
      <c r="B58" s="413">
        <v>45322</v>
      </c>
      <c r="C58" s="412" t="s">
        <v>416</v>
      </c>
      <c r="D58" s="412" t="s">
        <v>384</v>
      </c>
      <c r="E58" s="414" t="s">
        <v>417</v>
      </c>
      <c r="F58" s="414" t="s">
        <v>417</v>
      </c>
      <c r="G58" s="412" t="s">
        <v>345</v>
      </c>
      <c r="H58" s="412" t="s">
        <v>418</v>
      </c>
      <c r="I58" s="413">
        <v>45322</v>
      </c>
      <c r="J58" s="415">
        <v>138.01</v>
      </c>
      <c r="K58" s="412" t="s">
        <v>5</v>
      </c>
      <c r="L58" s="412" t="s">
        <v>347</v>
      </c>
      <c r="M58" s="412" t="s">
        <v>387</v>
      </c>
    </row>
    <row r="59" spans="1:13" x14ac:dyDescent="0.2">
      <c r="A59" s="412" t="s">
        <v>341</v>
      </c>
      <c r="B59" s="413">
        <v>45322</v>
      </c>
      <c r="C59" s="412" t="s">
        <v>419</v>
      </c>
      <c r="D59" s="412" t="s">
        <v>393</v>
      </c>
      <c r="E59" s="414" t="s">
        <v>394</v>
      </c>
      <c r="F59" s="414" t="s">
        <v>394</v>
      </c>
      <c r="G59" s="412" t="s">
        <v>345</v>
      </c>
      <c r="H59" s="412" t="s">
        <v>420</v>
      </c>
      <c r="I59" s="413">
        <v>45322</v>
      </c>
      <c r="J59" s="415">
        <v>24.74</v>
      </c>
      <c r="K59" s="412" t="s">
        <v>5</v>
      </c>
      <c r="L59" s="412" t="s">
        <v>347</v>
      </c>
      <c r="M59" s="412" t="s">
        <v>387</v>
      </c>
    </row>
    <row r="60" spans="1:13" x14ac:dyDescent="0.2">
      <c r="A60" s="412" t="s">
        <v>341</v>
      </c>
      <c r="B60" s="413">
        <v>45328</v>
      </c>
      <c r="C60" s="412" t="s">
        <v>421</v>
      </c>
      <c r="D60" s="412" t="s">
        <v>393</v>
      </c>
      <c r="E60" s="414" t="s">
        <v>394</v>
      </c>
      <c r="F60" s="414" t="s">
        <v>394</v>
      </c>
      <c r="G60" s="412" t="s">
        <v>345</v>
      </c>
      <c r="H60" s="412" t="s">
        <v>422</v>
      </c>
      <c r="I60" s="413">
        <v>45329</v>
      </c>
      <c r="J60" s="415">
        <v>24.74</v>
      </c>
      <c r="K60" s="412" t="s">
        <v>5</v>
      </c>
      <c r="L60" s="412" t="s">
        <v>347</v>
      </c>
      <c r="M60" s="412" t="s">
        <v>387</v>
      </c>
    </row>
    <row r="61" spans="1:13" x14ac:dyDescent="0.2">
      <c r="A61" s="412" t="s">
        <v>341</v>
      </c>
      <c r="B61" s="413">
        <v>45328</v>
      </c>
      <c r="C61" s="412" t="s">
        <v>423</v>
      </c>
      <c r="D61" s="412" t="s">
        <v>389</v>
      </c>
      <c r="E61" s="414" t="s">
        <v>390</v>
      </c>
      <c r="F61" s="414" t="s">
        <v>390</v>
      </c>
      <c r="G61" s="412" t="s">
        <v>345</v>
      </c>
      <c r="H61" s="412" t="s">
        <v>424</v>
      </c>
      <c r="I61" s="413">
        <v>45329</v>
      </c>
      <c r="J61" s="415">
        <v>70</v>
      </c>
      <c r="K61" s="412" t="s">
        <v>5</v>
      </c>
      <c r="L61" s="412" t="s">
        <v>347</v>
      </c>
      <c r="M61" s="412" t="s">
        <v>387</v>
      </c>
    </row>
    <row r="62" spans="1:13" x14ac:dyDescent="0.2">
      <c r="A62" s="412" t="s">
        <v>341</v>
      </c>
      <c r="B62" s="413">
        <v>45334</v>
      </c>
      <c r="C62" s="412" t="s">
        <v>425</v>
      </c>
      <c r="D62" s="412" t="s">
        <v>393</v>
      </c>
      <c r="E62" s="414" t="s">
        <v>394</v>
      </c>
      <c r="F62" s="414" t="s">
        <v>394</v>
      </c>
      <c r="G62" s="412" t="s">
        <v>345</v>
      </c>
      <c r="H62" s="412" t="s">
        <v>426</v>
      </c>
      <c r="I62" s="413">
        <v>45334</v>
      </c>
      <c r="J62" s="415">
        <v>24.74</v>
      </c>
      <c r="K62" s="412" t="s">
        <v>5</v>
      </c>
      <c r="L62" s="412" t="s">
        <v>347</v>
      </c>
      <c r="M62" s="412" t="s">
        <v>387</v>
      </c>
    </row>
    <row r="63" spans="1:13" x14ac:dyDescent="0.2">
      <c r="A63" s="412" t="s">
        <v>341</v>
      </c>
      <c r="B63" s="413">
        <v>45341</v>
      </c>
      <c r="C63" s="412" t="s">
        <v>427</v>
      </c>
      <c r="D63" s="412" t="s">
        <v>389</v>
      </c>
      <c r="E63" s="414" t="s">
        <v>390</v>
      </c>
      <c r="F63" s="414" t="s">
        <v>390</v>
      </c>
      <c r="G63" s="412" t="s">
        <v>345</v>
      </c>
      <c r="H63" s="412" t="s">
        <v>428</v>
      </c>
      <c r="I63" s="413">
        <v>45341</v>
      </c>
      <c r="J63" s="415">
        <v>70</v>
      </c>
      <c r="K63" s="412" t="s">
        <v>5</v>
      </c>
      <c r="L63" s="412" t="s">
        <v>429</v>
      </c>
      <c r="M63" s="412" t="s">
        <v>387</v>
      </c>
    </row>
    <row r="64" spans="1:13" x14ac:dyDescent="0.2">
      <c r="A64" s="412" t="s">
        <v>341</v>
      </c>
      <c r="B64" s="413">
        <v>45342</v>
      </c>
      <c r="C64" s="412" t="s">
        <v>430</v>
      </c>
      <c r="D64" s="412" t="s">
        <v>431</v>
      </c>
      <c r="E64" s="414" t="s">
        <v>432</v>
      </c>
      <c r="F64" s="414" t="s">
        <v>432</v>
      </c>
      <c r="G64" s="412" t="s">
        <v>345</v>
      </c>
      <c r="H64" s="412" t="s">
        <v>433</v>
      </c>
      <c r="I64" s="413">
        <v>45342</v>
      </c>
      <c r="J64" s="415">
        <v>519.04</v>
      </c>
      <c r="K64" s="412" t="s">
        <v>5</v>
      </c>
      <c r="L64" s="412" t="s">
        <v>347</v>
      </c>
      <c r="M64" s="412" t="s">
        <v>387</v>
      </c>
    </row>
    <row r="65" spans="1:13" x14ac:dyDescent="0.2">
      <c r="A65" s="412" t="s">
        <v>341</v>
      </c>
      <c r="B65" s="413">
        <v>45342</v>
      </c>
      <c r="C65" s="412" t="s">
        <v>434</v>
      </c>
      <c r="D65" s="412" t="s">
        <v>393</v>
      </c>
      <c r="E65" s="414" t="s">
        <v>394</v>
      </c>
      <c r="F65" s="414" t="s">
        <v>394</v>
      </c>
      <c r="G65" s="412" t="s">
        <v>345</v>
      </c>
      <c r="H65" s="412" t="s">
        <v>435</v>
      </c>
      <c r="I65" s="413">
        <v>45342</v>
      </c>
      <c r="J65" s="415">
        <v>24.74</v>
      </c>
      <c r="K65" s="412" t="s">
        <v>5</v>
      </c>
      <c r="L65" s="412" t="s">
        <v>347</v>
      </c>
      <c r="M65" s="412" t="s">
        <v>387</v>
      </c>
    </row>
    <row r="66" spans="1:13" x14ac:dyDescent="0.2">
      <c r="A66" s="412" t="s">
        <v>341</v>
      </c>
      <c r="B66" s="413">
        <v>45349</v>
      </c>
      <c r="C66" s="412" t="s">
        <v>436</v>
      </c>
      <c r="D66" s="412" t="s">
        <v>384</v>
      </c>
      <c r="E66" s="414" t="s">
        <v>437</v>
      </c>
      <c r="F66" s="414" t="s">
        <v>437</v>
      </c>
      <c r="G66" s="412" t="s">
        <v>345</v>
      </c>
      <c r="H66" s="412" t="s">
        <v>438</v>
      </c>
      <c r="I66" s="413">
        <v>45349</v>
      </c>
      <c r="J66" s="415">
        <v>110.21</v>
      </c>
      <c r="K66" s="412" t="s">
        <v>5</v>
      </c>
      <c r="L66" s="412" t="s">
        <v>429</v>
      </c>
      <c r="M66" s="412" t="s">
        <v>387</v>
      </c>
    </row>
    <row r="67" spans="1:13" x14ac:dyDescent="0.2">
      <c r="A67" s="412" t="s">
        <v>341</v>
      </c>
      <c r="B67" s="413">
        <v>45349</v>
      </c>
      <c r="C67" s="412" t="s">
        <v>439</v>
      </c>
      <c r="D67" s="412" t="s">
        <v>393</v>
      </c>
      <c r="E67" s="414" t="s">
        <v>394</v>
      </c>
      <c r="F67" s="414" t="s">
        <v>394</v>
      </c>
      <c r="G67" s="412" t="s">
        <v>345</v>
      </c>
      <c r="H67" s="412" t="s">
        <v>440</v>
      </c>
      <c r="I67" s="413">
        <v>45349</v>
      </c>
      <c r="J67" s="415">
        <v>24.74</v>
      </c>
      <c r="K67" s="412" t="s">
        <v>5</v>
      </c>
      <c r="L67" s="412" t="s">
        <v>347</v>
      </c>
      <c r="M67" s="412" t="s">
        <v>387</v>
      </c>
    </row>
    <row r="68" spans="1:13" x14ac:dyDescent="0.2">
      <c r="A68" s="412" t="s">
        <v>341</v>
      </c>
      <c r="B68" s="413">
        <v>45355</v>
      </c>
      <c r="C68" s="412" t="s">
        <v>441</v>
      </c>
      <c r="D68" s="412" t="s">
        <v>389</v>
      </c>
      <c r="E68" s="414" t="s">
        <v>390</v>
      </c>
      <c r="F68" s="414" t="s">
        <v>390</v>
      </c>
      <c r="G68" s="412" t="s">
        <v>345</v>
      </c>
      <c r="H68" s="412" t="s">
        <v>442</v>
      </c>
      <c r="I68" s="413">
        <v>45355</v>
      </c>
      <c r="J68" s="415">
        <v>70</v>
      </c>
      <c r="K68" s="412" t="s">
        <v>5</v>
      </c>
      <c r="L68" s="412" t="s">
        <v>347</v>
      </c>
      <c r="M68" s="412" t="s">
        <v>387</v>
      </c>
    </row>
    <row r="69" spans="1:13" x14ac:dyDescent="0.2">
      <c r="A69" s="412" t="s">
        <v>341</v>
      </c>
      <c r="B69" s="413">
        <v>45357</v>
      </c>
      <c r="C69" s="412" t="s">
        <v>443</v>
      </c>
      <c r="D69" s="412" t="s">
        <v>393</v>
      </c>
      <c r="E69" s="414" t="s">
        <v>394</v>
      </c>
      <c r="F69" s="414" t="s">
        <v>394</v>
      </c>
      <c r="G69" s="412" t="s">
        <v>345</v>
      </c>
      <c r="H69" s="412" t="s">
        <v>444</v>
      </c>
      <c r="I69" s="413">
        <v>45357</v>
      </c>
      <c r="J69" s="415">
        <v>24.74</v>
      </c>
      <c r="K69" s="412" t="s">
        <v>5</v>
      </c>
      <c r="L69" s="412" t="s">
        <v>347</v>
      </c>
      <c r="M69" s="412" t="s">
        <v>387</v>
      </c>
    </row>
    <row r="70" spans="1:13" x14ac:dyDescent="0.2">
      <c r="A70" s="412" t="s">
        <v>341</v>
      </c>
      <c r="B70" s="413">
        <v>45359</v>
      </c>
      <c r="C70" s="412" t="s">
        <v>445</v>
      </c>
      <c r="D70" s="412" t="s">
        <v>393</v>
      </c>
      <c r="E70" s="414" t="s">
        <v>394</v>
      </c>
      <c r="F70" s="414" t="s">
        <v>394</v>
      </c>
      <c r="G70" s="412" t="s">
        <v>345</v>
      </c>
      <c r="H70" s="412" t="s">
        <v>446</v>
      </c>
      <c r="I70" s="413">
        <v>45359</v>
      </c>
      <c r="J70" s="415">
        <v>24.74</v>
      </c>
      <c r="K70" s="412" t="s">
        <v>5</v>
      </c>
      <c r="L70" s="412" t="s">
        <v>347</v>
      </c>
      <c r="M70" s="412" t="s">
        <v>387</v>
      </c>
    </row>
    <row r="71" spans="1:13" x14ac:dyDescent="0.2">
      <c r="A71" s="412" t="s">
        <v>341</v>
      </c>
      <c r="B71" s="413">
        <v>45365</v>
      </c>
      <c r="C71" s="412" t="s">
        <v>447</v>
      </c>
      <c r="D71" s="412" t="s">
        <v>389</v>
      </c>
      <c r="E71" s="414" t="s">
        <v>390</v>
      </c>
      <c r="F71" s="414" t="s">
        <v>390</v>
      </c>
      <c r="G71" s="412" t="s">
        <v>345</v>
      </c>
      <c r="H71" s="412" t="s">
        <v>448</v>
      </c>
      <c r="I71" s="413">
        <v>45365</v>
      </c>
      <c r="J71" s="415">
        <v>70</v>
      </c>
      <c r="K71" s="412" t="s">
        <v>5</v>
      </c>
      <c r="L71" s="412" t="s">
        <v>347</v>
      </c>
      <c r="M71" s="412" t="s">
        <v>387</v>
      </c>
    </row>
    <row r="72" spans="1:13" x14ac:dyDescent="0.2">
      <c r="A72" s="412" t="s">
        <v>341</v>
      </c>
      <c r="B72" s="413">
        <v>45366</v>
      </c>
      <c r="C72" s="412" t="s">
        <v>449</v>
      </c>
      <c r="D72" s="412" t="s">
        <v>450</v>
      </c>
      <c r="E72" s="414" t="s">
        <v>451</v>
      </c>
      <c r="F72" s="414" t="s">
        <v>451</v>
      </c>
      <c r="G72" s="412" t="s">
        <v>345</v>
      </c>
      <c r="H72" s="412" t="s">
        <v>452</v>
      </c>
      <c r="I72" s="413">
        <v>45366</v>
      </c>
      <c r="J72" s="415">
        <v>235.95</v>
      </c>
      <c r="K72" s="412" t="s">
        <v>5</v>
      </c>
      <c r="L72" s="412" t="s">
        <v>347</v>
      </c>
      <c r="M72" s="412" t="s">
        <v>387</v>
      </c>
    </row>
    <row r="73" spans="1:13" x14ac:dyDescent="0.2">
      <c r="A73" s="412" t="s">
        <v>341</v>
      </c>
      <c r="B73" s="413">
        <v>45366</v>
      </c>
      <c r="C73" s="412" t="s">
        <v>453</v>
      </c>
      <c r="D73" s="412" t="s">
        <v>397</v>
      </c>
      <c r="E73" s="414" t="s">
        <v>454</v>
      </c>
      <c r="F73" s="414" t="s">
        <v>454</v>
      </c>
      <c r="G73" s="412" t="s">
        <v>345</v>
      </c>
      <c r="H73" s="412" t="s">
        <v>455</v>
      </c>
      <c r="I73" s="413">
        <v>45366</v>
      </c>
      <c r="J73" s="415">
        <v>462.7</v>
      </c>
      <c r="K73" s="412" t="s">
        <v>5</v>
      </c>
      <c r="L73" s="412" t="s">
        <v>347</v>
      </c>
      <c r="M73" s="412" t="s">
        <v>387</v>
      </c>
    </row>
    <row r="74" spans="1:13" x14ac:dyDescent="0.2">
      <c r="A74" s="412" t="s">
        <v>341</v>
      </c>
      <c r="B74" s="413">
        <v>45372</v>
      </c>
      <c r="C74" s="412" t="s">
        <v>456</v>
      </c>
      <c r="D74" s="412" t="s">
        <v>393</v>
      </c>
      <c r="E74" s="414" t="s">
        <v>394</v>
      </c>
      <c r="F74" s="414" t="s">
        <v>394</v>
      </c>
      <c r="G74" s="412" t="s">
        <v>345</v>
      </c>
      <c r="H74" s="412" t="s">
        <v>457</v>
      </c>
      <c r="I74" s="413">
        <v>45372</v>
      </c>
      <c r="J74" s="415">
        <v>24.74</v>
      </c>
      <c r="K74" s="412" t="s">
        <v>5</v>
      </c>
      <c r="L74" s="412" t="s">
        <v>347</v>
      </c>
      <c r="M74" s="412" t="s">
        <v>387</v>
      </c>
    </row>
    <row r="75" spans="1:13" x14ac:dyDescent="0.2">
      <c r="A75" s="412" t="s">
        <v>341</v>
      </c>
      <c r="B75" s="413">
        <v>45376</v>
      </c>
      <c r="C75" s="412" t="s">
        <v>458</v>
      </c>
      <c r="D75" s="412" t="s">
        <v>393</v>
      </c>
      <c r="E75" s="414" t="s">
        <v>394</v>
      </c>
      <c r="F75" s="414" t="s">
        <v>394</v>
      </c>
      <c r="G75" s="412" t="s">
        <v>345</v>
      </c>
      <c r="H75" s="412" t="s">
        <v>459</v>
      </c>
      <c r="I75" s="413">
        <v>45376</v>
      </c>
      <c r="J75" s="415">
        <v>24.74</v>
      </c>
      <c r="K75" s="412" t="s">
        <v>5</v>
      </c>
      <c r="L75" s="412" t="s">
        <v>347</v>
      </c>
      <c r="M75" s="412" t="s">
        <v>387</v>
      </c>
    </row>
    <row r="76" spans="1:13" x14ac:dyDescent="0.2">
      <c r="A76" s="412" t="s">
        <v>341</v>
      </c>
      <c r="B76" s="413">
        <v>45376</v>
      </c>
      <c r="C76" s="412" t="s">
        <v>460</v>
      </c>
      <c r="D76" s="412" t="s">
        <v>384</v>
      </c>
      <c r="E76" s="414" t="s">
        <v>461</v>
      </c>
      <c r="F76" s="414" t="s">
        <v>461</v>
      </c>
      <c r="G76" s="412" t="s">
        <v>345</v>
      </c>
      <c r="H76" s="412" t="s">
        <v>462</v>
      </c>
      <c r="I76" s="413">
        <v>45376</v>
      </c>
      <c r="J76" s="415">
        <v>146.22999999999999</v>
      </c>
      <c r="K76" s="412" t="s">
        <v>5</v>
      </c>
      <c r="L76" s="412" t="s">
        <v>347</v>
      </c>
      <c r="M76" s="412" t="s">
        <v>387</v>
      </c>
    </row>
    <row r="77" spans="1:13" x14ac:dyDescent="0.2">
      <c r="A77" s="412" t="s">
        <v>341</v>
      </c>
      <c r="B77" s="413">
        <v>45386</v>
      </c>
      <c r="C77" s="412" t="s">
        <v>463</v>
      </c>
      <c r="D77" s="412" t="s">
        <v>431</v>
      </c>
      <c r="E77" s="414" t="s">
        <v>464</v>
      </c>
      <c r="F77" s="414" t="s">
        <v>464</v>
      </c>
      <c r="G77" s="412" t="s">
        <v>345</v>
      </c>
      <c r="H77" s="412" t="s">
        <v>465</v>
      </c>
      <c r="I77" s="413">
        <v>45386</v>
      </c>
      <c r="J77" s="415">
        <v>577.84</v>
      </c>
      <c r="K77" s="412" t="s">
        <v>5</v>
      </c>
      <c r="L77" s="412" t="s">
        <v>347</v>
      </c>
      <c r="M77" s="412" t="s">
        <v>387</v>
      </c>
    </row>
    <row r="78" spans="1:13" x14ac:dyDescent="0.2">
      <c r="A78" s="412" t="s">
        <v>341</v>
      </c>
      <c r="B78" s="413">
        <v>45387</v>
      </c>
      <c r="C78" s="412" t="s">
        <v>466</v>
      </c>
      <c r="D78" s="412" t="s">
        <v>389</v>
      </c>
      <c r="E78" s="414" t="s">
        <v>390</v>
      </c>
      <c r="F78" s="414" t="s">
        <v>390</v>
      </c>
      <c r="G78" s="412" t="s">
        <v>345</v>
      </c>
      <c r="H78" s="412" t="s">
        <v>467</v>
      </c>
      <c r="I78" s="413">
        <v>45387</v>
      </c>
      <c r="J78" s="415">
        <v>70</v>
      </c>
      <c r="K78" s="412" t="s">
        <v>5</v>
      </c>
      <c r="L78" s="412" t="s">
        <v>347</v>
      </c>
      <c r="M78" s="412" t="s">
        <v>387</v>
      </c>
    </row>
    <row r="79" spans="1:13" x14ac:dyDescent="0.2">
      <c r="A79" s="412" t="s">
        <v>341</v>
      </c>
      <c r="B79" s="413">
        <v>45390</v>
      </c>
      <c r="C79" s="412" t="s">
        <v>468</v>
      </c>
      <c r="D79" s="412" t="s">
        <v>393</v>
      </c>
      <c r="E79" s="414" t="s">
        <v>394</v>
      </c>
      <c r="F79" s="414" t="s">
        <v>394</v>
      </c>
      <c r="G79" s="412" t="s">
        <v>345</v>
      </c>
      <c r="H79" s="412" t="s">
        <v>469</v>
      </c>
      <c r="I79" s="413">
        <v>45390</v>
      </c>
      <c r="J79" s="415">
        <v>24.74</v>
      </c>
      <c r="K79" s="412" t="s">
        <v>5</v>
      </c>
      <c r="L79" s="412" t="s">
        <v>347</v>
      </c>
      <c r="M79" s="412" t="s">
        <v>387</v>
      </c>
    </row>
    <row r="80" spans="1:13" x14ac:dyDescent="0.2">
      <c r="A80" s="412" t="s">
        <v>341</v>
      </c>
      <c r="B80" s="413">
        <v>45390</v>
      </c>
      <c r="C80" s="412" t="s">
        <v>470</v>
      </c>
      <c r="D80" s="412" t="s">
        <v>393</v>
      </c>
      <c r="E80" s="414" t="s">
        <v>394</v>
      </c>
      <c r="F80" s="414" t="s">
        <v>394</v>
      </c>
      <c r="G80" s="412" t="s">
        <v>345</v>
      </c>
      <c r="H80" s="412" t="s">
        <v>471</v>
      </c>
      <c r="I80" s="413">
        <v>45390</v>
      </c>
      <c r="J80" s="415">
        <v>24.74</v>
      </c>
      <c r="K80" s="412" t="s">
        <v>5</v>
      </c>
      <c r="L80" s="412" t="s">
        <v>347</v>
      </c>
      <c r="M80" s="412" t="s">
        <v>387</v>
      </c>
    </row>
    <row r="81" spans="1:13" x14ac:dyDescent="0.2">
      <c r="A81" s="412" t="s">
        <v>341</v>
      </c>
      <c r="B81" s="413">
        <v>45399</v>
      </c>
      <c r="C81" s="412" t="s">
        <v>472</v>
      </c>
      <c r="D81" s="412" t="s">
        <v>389</v>
      </c>
      <c r="E81" s="414" t="s">
        <v>390</v>
      </c>
      <c r="F81" s="414" t="s">
        <v>390</v>
      </c>
      <c r="G81" s="412" t="s">
        <v>345</v>
      </c>
      <c r="H81" s="412" t="s">
        <v>473</v>
      </c>
      <c r="I81" s="413">
        <v>45399</v>
      </c>
      <c r="J81" s="415">
        <v>70</v>
      </c>
      <c r="K81" s="412" t="s">
        <v>5</v>
      </c>
      <c r="L81" s="412" t="s">
        <v>347</v>
      </c>
      <c r="M81" s="412" t="s">
        <v>387</v>
      </c>
    </row>
    <row r="82" spans="1:13" x14ac:dyDescent="0.2">
      <c r="A82" s="412" t="s">
        <v>341</v>
      </c>
      <c r="B82" s="413">
        <v>45399</v>
      </c>
      <c r="C82" s="412" t="s">
        <v>474</v>
      </c>
      <c r="D82" s="412" t="s">
        <v>389</v>
      </c>
      <c r="E82" s="414" t="s">
        <v>390</v>
      </c>
      <c r="F82" s="414" t="s">
        <v>390</v>
      </c>
      <c r="G82" s="412" t="s">
        <v>345</v>
      </c>
      <c r="H82" s="412" t="s">
        <v>475</v>
      </c>
      <c r="I82" s="413">
        <v>45399</v>
      </c>
      <c r="J82" s="415">
        <v>70</v>
      </c>
      <c r="K82" s="412" t="s">
        <v>5</v>
      </c>
      <c r="L82" s="412" t="s">
        <v>429</v>
      </c>
      <c r="M82" s="412" t="s">
        <v>387</v>
      </c>
    </row>
    <row r="83" spans="1:13" x14ac:dyDescent="0.2">
      <c r="A83" s="412" t="s">
        <v>341</v>
      </c>
      <c r="B83" s="413">
        <v>45407</v>
      </c>
      <c r="C83" s="412" t="s">
        <v>476</v>
      </c>
      <c r="D83" s="412" t="s">
        <v>477</v>
      </c>
      <c r="E83" s="414" t="s">
        <v>478</v>
      </c>
      <c r="F83" s="414" t="s">
        <v>478</v>
      </c>
      <c r="G83" s="412" t="s">
        <v>345</v>
      </c>
      <c r="H83" s="412" t="s">
        <v>479</v>
      </c>
      <c r="I83" s="413">
        <v>45407</v>
      </c>
      <c r="J83" s="415">
        <v>13170.95</v>
      </c>
      <c r="K83" s="412" t="s">
        <v>5</v>
      </c>
      <c r="L83" s="412" t="s">
        <v>347</v>
      </c>
      <c r="M83" s="412" t="s">
        <v>387</v>
      </c>
    </row>
    <row r="84" spans="1:13" x14ac:dyDescent="0.2">
      <c r="A84" s="412" t="s">
        <v>341</v>
      </c>
      <c r="B84" s="413">
        <v>45407</v>
      </c>
      <c r="C84" s="412" t="s">
        <v>480</v>
      </c>
      <c r="D84" s="412" t="s">
        <v>481</v>
      </c>
      <c r="E84" s="414" t="s">
        <v>482</v>
      </c>
      <c r="F84" s="414" t="s">
        <v>482</v>
      </c>
      <c r="G84" s="412" t="s">
        <v>345</v>
      </c>
      <c r="H84" s="412" t="s">
        <v>483</v>
      </c>
      <c r="I84" s="413">
        <v>45407</v>
      </c>
      <c r="J84" s="415">
        <v>2765.9</v>
      </c>
      <c r="K84" s="412" t="s">
        <v>5</v>
      </c>
      <c r="L84" s="412" t="s">
        <v>347</v>
      </c>
      <c r="M84" s="412" t="s">
        <v>387</v>
      </c>
    </row>
    <row r="85" spans="1:13" x14ac:dyDescent="0.2">
      <c r="A85" s="412" t="s">
        <v>341</v>
      </c>
      <c r="B85" s="413">
        <v>45407</v>
      </c>
      <c r="C85" s="412" t="s">
        <v>484</v>
      </c>
      <c r="D85" s="412" t="s">
        <v>393</v>
      </c>
      <c r="E85" s="414" t="s">
        <v>394</v>
      </c>
      <c r="F85" s="414" t="s">
        <v>394</v>
      </c>
      <c r="G85" s="412" t="s">
        <v>345</v>
      </c>
      <c r="H85" s="412" t="s">
        <v>485</v>
      </c>
      <c r="I85" s="413">
        <v>45407</v>
      </c>
      <c r="J85" s="415">
        <v>24.74</v>
      </c>
      <c r="K85" s="412" t="s">
        <v>5</v>
      </c>
      <c r="L85" s="412" t="s">
        <v>347</v>
      </c>
      <c r="M85" s="412" t="s">
        <v>387</v>
      </c>
    </row>
    <row r="86" spans="1:13" x14ac:dyDescent="0.2">
      <c r="A86" s="412" t="s">
        <v>341</v>
      </c>
      <c r="B86" s="413">
        <v>45408</v>
      </c>
      <c r="C86" s="412" t="s">
        <v>486</v>
      </c>
      <c r="D86" s="412" t="s">
        <v>450</v>
      </c>
      <c r="E86" s="414" t="s">
        <v>487</v>
      </c>
      <c r="F86" s="414" t="s">
        <v>487</v>
      </c>
      <c r="G86" s="412" t="s">
        <v>345</v>
      </c>
      <c r="H86" s="412" t="s">
        <v>488</v>
      </c>
      <c r="I86" s="413">
        <v>45408</v>
      </c>
      <c r="J86" s="415">
        <v>264.26</v>
      </c>
      <c r="K86" s="412" t="s">
        <v>5</v>
      </c>
      <c r="L86" s="412" t="s">
        <v>347</v>
      </c>
      <c r="M86" s="412" t="s">
        <v>387</v>
      </c>
    </row>
    <row r="87" spans="1:13" x14ac:dyDescent="0.2">
      <c r="A87" s="412" t="s">
        <v>341</v>
      </c>
      <c r="B87" s="413">
        <v>45408</v>
      </c>
      <c r="C87" s="412" t="s">
        <v>489</v>
      </c>
      <c r="D87" s="412" t="s">
        <v>431</v>
      </c>
      <c r="E87" s="414" t="s">
        <v>490</v>
      </c>
      <c r="F87" s="414" t="s">
        <v>490</v>
      </c>
      <c r="G87" s="412" t="s">
        <v>345</v>
      </c>
      <c r="H87" s="412" t="s">
        <v>491</v>
      </c>
      <c r="I87" s="413">
        <v>45408</v>
      </c>
      <c r="J87" s="415">
        <v>722.64</v>
      </c>
      <c r="K87" s="412" t="s">
        <v>5</v>
      </c>
      <c r="L87" s="412" t="s">
        <v>347</v>
      </c>
      <c r="M87" s="412" t="s">
        <v>387</v>
      </c>
    </row>
    <row r="88" spans="1:13" x14ac:dyDescent="0.2">
      <c r="A88" s="412" t="s">
        <v>341</v>
      </c>
      <c r="B88" s="413">
        <v>45408</v>
      </c>
      <c r="C88" s="412" t="s">
        <v>492</v>
      </c>
      <c r="D88" s="412" t="s">
        <v>393</v>
      </c>
      <c r="E88" s="414" t="s">
        <v>394</v>
      </c>
      <c r="F88" s="414" t="s">
        <v>394</v>
      </c>
      <c r="G88" s="412" t="s">
        <v>345</v>
      </c>
      <c r="H88" s="412" t="s">
        <v>493</v>
      </c>
      <c r="I88" s="413">
        <v>45408</v>
      </c>
      <c r="J88" s="415">
        <v>24.74</v>
      </c>
      <c r="K88" s="412" t="s">
        <v>5</v>
      </c>
      <c r="L88" s="412" t="s">
        <v>347</v>
      </c>
      <c r="M88" s="412" t="s">
        <v>387</v>
      </c>
    </row>
    <row r="89" spans="1:13" x14ac:dyDescent="0.2">
      <c r="A89" s="412" t="s">
        <v>341</v>
      </c>
      <c r="B89" s="413">
        <v>45408</v>
      </c>
      <c r="C89" s="412" t="s">
        <v>494</v>
      </c>
      <c r="D89" s="412" t="s">
        <v>393</v>
      </c>
      <c r="E89" s="414" t="s">
        <v>394</v>
      </c>
      <c r="F89" s="414" t="s">
        <v>394</v>
      </c>
      <c r="G89" s="412" t="s">
        <v>345</v>
      </c>
      <c r="H89" s="412" t="s">
        <v>495</v>
      </c>
      <c r="I89" s="413">
        <v>45408</v>
      </c>
      <c r="J89" s="415">
        <v>24.74</v>
      </c>
      <c r="K89" s="412" t="s">
        <v>5</v>
      </c>
      <c r="L89" s="412" t="s">
        <v>347</v>
      </c>
      <c r="M89" s="412" t="s">
        <v>387</v>
      </c>
    </row>
    <row r="90" spans="1:13" x14ac:dyDescent="0.2">
      <c r="A90" s="412" t="s">
        <v>341</v>
      </c>
      <c r="B90" s="413">
        <v>45420</v>
      </c>
      <c r="C90" s="412" t="s">
        <v>496</v>
      </c>
      <c r="D90" s="412" t="s">
        <v>393</v>
      </c>
      <c r="E90" s="414" t="s">
        <v>394</v>
      </c>
      <c r="F90" s="414" t="s">
        <v>394</v>
      </c>
      <c r="G90" s="412" t="s">
        <v>345</v>
      </c>
      <c r="H90" s="412" t="s">
        <v>497</v>
      </c>
      <c r="I90" s="413">
        <v>45420</v>
      </c>
      <c r="J90" s="415">
        <v>24.74</v>
      </c>
      <c r="K90" s="412" t="s">
        <v>5</v>
      </c>
      <c r="L90" s="412" t="s">
        <v>347</v>
      </c>
      <c r="M90" s="412" t="s">
        <v>387</v>
      </c>
    </row>
    <row r="91" spans="1:13" x14ac:dyDescent="0.2">
      <c r="A91" s="412" t="s">
        <v>341</v>
      </c>
      <c r="B91" s="413">
        <v>45420</v>
      </c>
      <c r="C91" s="412" t="s">
        <v>498</v>
      </c>
      <c r="D91" s="412" t="s">
        <v>384</v>
      </c>
      <c r="E91" s="414" t="s">
        <v>499</v>
      </c>
      <c r="F91" s="414" t="s">
        <v>499</v>
      </c>
      <c r="G91" s="412" t="s">
        <v>345</v>
      </c>
      <c r="H91" s="412" t="s">
        <v>500</v>
      </c>
      <c r="I91" s="413">
        <v>45420</v>
      </c>
      <c r="J91" s="415">
        <v>63.98</v>
      </c>
      <c r="K91" s="412" t="s">
        <v>5</v>
      </c>
      <c r="L91" s="412" t="s">
        <v>347</v>
      </c>
      <c r="M91" s="412" t="s">
        <v>387</v>
      </c>
    </row>
    <row r="92" spans="1:13" x14ac:dyDescent="0.2">
      <c r="A92" s="412" t="s">
        <v>341</v>
      </c>
      <c r="B92" s="413">
        <v>45420</v>
      </c>
      <c r="C92" s="412" t="s">
        <v>498</v>
      </c>
      <c r="D92" s="412" t="s">
        <v>384</v>
      </c>
      <c r="E92" s="414" t="s">
        <v>499</v>
      </c>
      <c r="F92" s="414" t="s">
        <v>499</v>
      </c>
      <c r="G92" s="412" t="s">
        <v>345</v>
      </c>
      <c r="H92" s="412" t="s">
        <v>500</v>
      </c>
      <c r="I92" s="413">
        <v>45420</v>
      </c>
      <c r="J92" s="415">
        <v>126.2</v>
      </c>
      <c r="K92" s="412" t="s">
        <v>5</v>
      </c>
      <c r="L92" s="412" t="s">
        <v>347</v>
      </c>
      <c r="M92" s="412" t="s">
        <v>387</v>
      </c>
    </row>
    <row r="93" spans="1:13" x14ac:dyDescent="0.2">
      <c r="A93" s="412" t="s">
        <v>341</v>
      </c>
      <c r="B93" s="413">
        <v>45420</v>
      </c>
      <c r="C93" s="412" t="s">
        <v>498</v>
      </c>
      <c r="D93" s="412" t="s">
        <v>384</v>
      </c>
      <c r="E93" s="414" t="s">
        <v>499</v>
      </c>
      <c r="F93" s="414" t="s">
        <v>499</v>
      </c>
      <c r="G93" s="412" t="s">
        <v>345</v>
      </c>
      <c r="H93" s="412" t="s">
        <v>500</v>
      </c>
      <c r="I93" s="413">
        <v>45420</v>
      </c>
      <c r="J93" s="415">
        <v>44.8</v>
      </c>
      <c r="K93" s="412" t="s">
        <v>5</v>
      </c>
      <c r="L93" s="412" t="s">
        <v>347</v>
      </c>
      <c r="M93" s="412" t="s">
        <v>387</v>
      </c>
    </row>
    <row r="94" spans="1:13" x14ac:dyDescent="0.2">
      <c r="A94" s="412" t="s">
        <v>341</v>
      </c>
      <c r="B94" s="413">
        <v>45421</v>
      </c>
      <c r="C94" s="412" t="s">
        <v>501</v>
      </c>
      <c r="D94" s="412" t="s">
        <v>502</v>
      </c>
      <c r="E94" s="414" t="s">
        <v>503</v>
      </c>
      <c r="F94" s="414" t="s">
        <v>503</v>
      </c>
      <c r="G94" s="412" t="s">
        <v>345</v>
      </c>
      <c r="H94" s="412" t="s">
        <v>504</v>
      </c>
      <c r="I94" s="413">
        <v>45421</v>
      </c>
      <c r="J94" s="415">
        <v>435.6</v>
      </c>
      <c r="K94" s="412" t="s">
        <v>5</v>
      </c>
      <c r="L94" s="412" t="s">
        <v>347</v>
      </c>
      <c r="M94" s="412" t="s">
        <v>387</v>
      </c>
    </row>
    <row r="95" spans="1:13" x14ac:dyDescent="0.2">
      <c r="A95" s="412" t="s">
        <v>341</v>
      </c>
      <c r="B95" s="413">
        <v>45429</v>
      </c>
      <c r="C95" s="412" t="s">
        <v>505</v>
      </c>
      <c r="D95" s="412" t="s">
        <v>393</v>
      </c>
      <c r="E95" s="414" t="s">
        <v>394</v>
      </c>
      <c r="F95" s="414" t="s">
        <v>394</v>
      </c>
      <c r="G95" s="412" t="s">
        <v>345</v>
      </c>
      <c r="H95" s="412" t="s">
        <v>506</v>
      </c>
      <c r="I95" s="413">
        <v>45429</v>
      </c>
      <c r="J95" s="415">
        <v>24.74</v>
      </c>
      <c r="K95" s="412" t="s">
        <v>5</v>
      </c>
      <c r="L95" s="412" t="s">
        <v>507</v>
      </c>
      <c r="M95" s="412" t="s">
        <v>387</v>
      </c>
    </row>
    <row r="96" spans="1:13" x14ac:dyDescent="0.2">
      <c r="A96" s="412" t="s">
        <v>341</v>
      </c>
      <c r="B96" s="413">
        <v>45429</v>
      </c>
      <c r="C96" s="412" t="s">
        <v>508</v>
      </c>
      <c r="D96" s="412" t="s">
        <v>389</v>
      </c>
      <c r="E96" s="414" t="s">
        <v>509</v>
      </c>
      <c r="F96" s="414" t="s">
        <v>509</v>
      </c>
      <c r="G96" s="412" t="s">
        <v>345</v>
      </c>
      <c r="H96" s="412" t="s">
        <v>510</v>
      </c>
      <c r="I96" s="413">
        <v>45429</v>
      </c>
      <c r="J96" s="415">
        <v>104</v>
      </c>
      <c r="K96" s="412" t="s">
        <v>5</v>
      </c>
      <c r="L96" s="412" t="s">
        <v>511</v>
      </c>
      <c r="M96" s="412" t="s">
        <v>387</v>
      </c>
    </row>
    <row r="97" spans="1:13" x14ac:dyDescent="0.2">
      <c r="A97" s="412" t="s">
        <v>341</v>
      </c>
      <c r="B97" s="413">
        <v>45429</v>
      </c>
      <c r="C97" s="412" t="s">
        <v>512</v>
      </c>
      <c r="D97" s="412" t="s">
        <v>389</v>
      </c>
      <c r="E97" s="414" t="s">
        <v>513</v>
      </c>
      <c r="F97" s="414" t="s">
        <v>513</v>
      </c>
      <c r="G97" s="412" t="s">
        <v>345</v>
      </c>
      <c r="H97" s="412" t="s">
        <v>514</v>
      </c>
      <c r="I97" s="413">
        <v>45429</v>
      </c>
      <c r="J97" s="415">
        <v>80</v>
      </c>
      <c r="K97" s="412" t="s">
        <v>5</v>
      </c>
      <c r="L97" s="412" t="s">
        <v>347</v>
      </c>
      <c r="M97" s="412" t="s">
        <v>387</v>
      </c>
    </row>
    <row r="98" spans="1:13" x14ac:dyDescent="0.2">
      <c r="A98" s="412" t="s">
        <v>341</v>
      </c>
      <c r="B98" s="413">
        <v>45433</v>
      </c>
      <c r="C98" s="412" t="s">
        <v>515</v>
      </c>
      <c r="D98" s="412" t="s">
        <v>393</v>
      </c>
      <c r="E98" s="414" t="s">
        <v>394</v>
      </c>
      <c r="F98" s="414" t="s">
        <v>394</v>
      </c>
      <c r="G98" s="412" t="s">
        <v>345</v>
      </c>
      <c r="H98" s="412" t="s">
        <v>516</v>
      </c>
      <c r="I98" s="413">
        <v>45433</v>
      </c>
      <c r="J98" s="415">
        <v>24.74</v>
      </c>
      <c r="K98" s="412" t="s">
        <v>5</v>
      </c>
      <c r="L98" s="412" t="s">
        <v>347</v>
      </c>
      <c r="M98" s="412" t="s">
        <v>387</v>
      </c>
    </row>
    <row r="99" spans="1:13" x14ac:dyDescent="0.2">
      <c r="A99" s="412" t="s">
        <v>341</v>
      </c>
      <c r="B99" s="413">
        <v>45436</v>
      </c>
      <c r="C99" s="412" t="s">
        <v>517</v>
      </c>
      <c r="D99" s="412" t="s">
        <v>393</v>
      </c>
      <c r="E99" s="414" t="s">
        <v>394</v>
      </c>
      <c r="F99" s="414" t="s">
        <v>394</v>
      </c>
      <c r="G99" s="412" t="s">
        <v>345</v>
      </c>
      <c r="H99" s="412" t="s">
        <v>518</v>
      </c>
      <c r="I99" s="413">
        <v>45436</v>
      </c>
      <c r="J99" s="415">
        <v>24.74</v>
      </c>
      <c r="K99" s="412" t="s">
        <v>5</v>
      </c>
      <c r="L99" s="412" t="s">
        <v>347</v>
      </c>
      <c r="M99" s="412" t="s">
        <v>387</v>
      </c>
    </row>
    <row r="100" spans="1:13" x14ac:dyDescent="0.2">
      <c r="A100" s="412" t="s">
        <v>341</v>
      </c>
      <c r="B100" s="413">
        <v>45446</v>
      </c>
      <c r="C100" s="412" t="s">
        <v>519</v>
      </c>
      <c r="D100" s="412" t="s">
        <v>450</v>
      </c>
      <c r="E100" s="414" t="s">
        <v>487</v>
      </c>
      <c r="F100" s="414" t="s">
        <v>487</v>
      </c>
      <c r="G100" s="412" t="s">
        <v>345</v>
      </c>
      <c r="H100" s="412" t="s">
        <v>520</v>
      </c>
      <c r="I100" s="413">
        <v>45447</v>
      </c>
      <c r="J100" s="415">
        <v>264.26</v>
      </c>
      <c r="K100" s="412" t="s">
        <v>5</v>
      </c>
      <c r="L100" s="412" t="s">
        <v>347</v>
      </c>
      <c r="M100" s="412" t="s">
        <v>387</v>
      </c>
    </row>
    <row r="101" spans="1:13" x14ac:dyDescent="0.2">
      <c r="A101" s="412" t="s">
        <v>341</v>
      </c>
      <c r="B101" s="413">
        <v>45446</v>
      </c>
      <c r="C101" s="412" t="s">
        <v>521</v>
      </c>
      <c r="D101" s="412" t="s">
        <v>384</v>
      </c>
      <c r="E101" s="414" t="s">
        <v>522</v>
      </c>
      <c r="F101" s="414" t="s">
        <v>522</v>
      </c>
      <c r="G101" s="412" t="s">
        <v>345</v>
      </c>
      <c r="H101" s="412" t="s">
        <v>523</v>
      </c>
      <c r="I101" s="413">
        <v>45447</v>
      </c>
      <c r="J101" s="415">
        <v>118.54</v>
      </c>
      <c r="K101" s="412" t="s">
        <v>5</v>
      </c>
      <c r="L101" s="412" t="s">
        <v>347</v>
      </c>
      <c r="M101" s="412" t="s">
        <v>387</v>
      </c>
    </row>
    <row r="102" spans="1:13" x14ac:dyDescent="0.2">
      <c r="A102" s="412" t="s">
        <v>341</v>
      </c>
      <c r="B102" s="413">
        <v>45446</v>
      </c>
      <c r="C102" s="412" t="s">
        <v>524</v>
      </c>
      <c r="D102" s="412" t="s">
        <v>393</v>
      </c>
      <c r="E102" s="414" t="s">
        <v>394</v>
      </c>
      <c r="F102" s="414" t="s">
        <v>394</v>
      </c>
      <c r="G102" s="412" t="s">
        <v>345</v>
      </c>
      <c r="H102" s="412" t="s">
        <v>525</v>
      </c>
      <c r="I102" s="413">
        <v>45447</v>
      </c>
      <c r="J102" s="415">
        <v>24.74</v>
      </c>
      <c r="K102" s="412" t="s">
        <v>5</v>
      </c>
      <c r="L102" s="412" t="s">
        <v>347</v>
      </c>
      <c r="M102" s="412" t="s">
        <v>387</v>
      </c>
    </row>
    <row r="103" spans="1:13" x14ac:dyDescent="0.2">
      <c r="A103" s="412" t="s">
        <v>341</v>
      </c>
      <c r="B103" s="413">
        <v>45446</v>
      </c>
      <c r="C103" s="412" t="s">
        <v>526</v>
      </c>
      <c r="D103" s="412" t="s">
        <v>389</v>
      </c>
      <c r="E103" s="414" t="s">
        <v>513</v>
      </c>
      <c r="F103" s="414" t="s">
        <v>513</v>
      </c>
      <c r="G103" s="412" t="s">
        <v>345</v>
      </c>
      <c r="H103" s="412" t="s">
        <v>527</v>
      </c>
      <c r="I103" s="413">
        <v>45447</v>
      </c>
      <c r="J103" s="415">
        <v>80</v>
      </c>
      <c r="K103" s="412" t="s">
        <v>5</v>
      </c>
      <c r="L103" s="412" t="s">
        <v>347</v>
      </c>
      <c r="M103" s="412" t="s">
        <v>387</v>
      </c>
    </row>
    <row r="104" spans="1:13" x14ac:dyDescent="0.2">
      <c r="A104" s="412" t="s">
        <v>341</v>
      </c>
      <c r="B104" s="413">
        <v>45455</v>
      </c>
      <c r="C104" s="412" t="s">
        <v>528</v>
      </c>
      <c r="D104" s="412" t="s">
        <v>389</v>
      </c>
      <c r="E104" s="414" t="s">
        <v>513</v>
      </c>
      <c r="F104" s="414" t="s">
        <v>513</v>
      </c>
      <c r="G104" s="412" t="s">
        <v>345</v>
      </c>
      <c r="H104" s="412" t="s">
        <v>529</v>
      </c>
      <c r="I104" s="413">
        <v>45455</v>
      </c>
      <c r="J104" s="415">
        <v>80</v>
      </c>
      <c r="K104" s="412" t="s">
        <v>5</v>
      </c>
      <c r="L104" s="412" t="s">
        <v>347</v>
      </c>
      <c r="M104" s="412" t="s">
        <v>387</v>
      </c>
    </row>
    <row r="105" spans="1:13" x14ac:dyDescent="0.2">
      <c r="A105" s="412" t="s">
        <v>341</v>
      </c>
      <c r="B105" s="413">
        <v>45455</v>
      </c>
      <c r="C105" s="412" t="s">
        <v>530</v>
      </c>
      <c r="D105" s="412" t="s">
        <v>393</v>
      </c>
      <c r="E105" s="414" t="s">
        <v>394</v>
      </c>
      <c r="F105" s="414" t="s">
        <v>394</v>
      </c>
      <c r="G105" s="412" t="s">
        <v>345</v>
      </c>
      <c r="H105" s="412" t="s">
        <v>531</v>
      </c>
      <c r="I105" s="413">
        <v>45455</v>
      </c>
      <c r="J105" s="415">
        <v>24.74</v>
      </c>
      <c r="K105" s="412" t="s">
        <v>5</v>
      </c>
      <c r="L105" s="412" t="s">
        <v>347</v>
      </c>
      <c r="M105" s="412" t="s">
        <v>387</v>
      </c>
    </row>
    <row r="106" spans="1:13" x14ac:dyDescent="0.2">
      <c r="A106" s="412" t="s">
        <v>341</v>
      </c>
      <c r="B106" s="413">
        <v>45464</v>
      </c>
      <c r="C106" s="412" t="s">
        <v>532</v>
      </c>
      <c r="D106" s="412" t="s">
        <v>393</v>
      </c>
      <c r="E106" s="414" t="s">
        <v>394</v>
      </c>
      <c r="F106" s="414" t="s">
        <v>394</v>
      </c>
      <c r="G106" s="412" t="s">
        <v>345</v>
      </c>
      <c r="H106" s="412" t="s">
        <v>533</v>
      </c>
      <c r="I106" s="413">
        <v>45464</v>
      </c>
      <c r="J106" s="415">
        <v>24.74</v>
      </c>
      <c r="K106" s="412" t="s">
        <v>5</v>
      </c>
      <c r="L106" s="412" t="s">
        <v>347</v>
      </c>
      <c r="M106" s="412" t="s">
        <v>387</v>
      </c>
    </row>
    <row r="107" spans="1:13" x14ac:dyDescent="0.2">
      <c r="A107" s="412" t="s">
        <v>341</v>
      </c>
      <c r="B107" s="413">
        <v>45464</v>
      </c>
      <c r="C107" s="412" t="s">
        <v>534</v>
      </c>
      <c r="D107" s="412" t="s">
        <v>393</v>
      </c>
      <c r="E107" s="414" t="s">
        <v>394</v>
      </c>
      <c r="F107" s="414" t="s">
        <v>394</v>
      </c>
      <c r="G107" s="412" t="s">
        <v>345</v>
      </c>
      <c r="H107" s="412" t="s">
        <v>535</v>
      </c>
      <c r="I107" s="413">
        <v>45464</v>
      </c>
      <c r="J107" s="415">
        <v>24.74</v>
      </c>
      <c r="K107" s="412" t="s">
        <v>5</v>
      </c>
      <c r="L107" s="412" t="s">
        <v>347</v>
      </c>
      <c r="M107" s="412" t="s">
        <v>387</v>
      </c>
    </row>
    <row r="108" spans="1:13" x14ac:dyDescent="0.2">
      <c r="A108" s="412" t="s">
        <v>341</v>
      </c>
      <c r="B108" s="413">
        <v>45488</v>
      </c>
      <c r="C108" s="412" t="s">
        <v>536</v>
      </c>
      <c r="D108" s="412" t="s">
        <v>389</v>
      </c>
      <c r="E108" s="414" t="s">
        <v>513</v>
      </c>
      <c r="F108" s="414" t="s">
        <v>513</v>
      </c>
      <c r="G108" s="412" t="s">
        <v>345</v>
      </c>
      <c r="H108" s="412" t="s">
        <v>537</v>
      </c>
      <c r="I108" s="413">
        <v>45489</v>
      </c>
      <c r="J108" s="415">
        <v>80</v>
      </c>
      <c r="K108" s="412" t="s">
        <v>5</v>
      </c>
      <c r="L108" s="412" t="s">
        <v>429</v>
      </c>
      <c r="M108" s="412" t="s">
        <v>387</v>
      </c>
    </row>
    <row r="109" spans="1:13" x14ac:dyDescent="0.2">
      <c r="A109" s="412" t="s">
        <v>341</v>
      </c>
      <c r="B109" s="413">
        <v>45488</v>
      </c>
      <c r="C109" s="412" t="s">
        <v>538</v>
      </c>
      <c r="D109" s="412" t="s">
        <v>393</v>
      </c>
      <c r="E109" s="414" t="s">
        <v>394</v>
      </c>
      <c r="F109" s="414" t="s">
        <v>394</v>
      </c>
      <c r="G109" s="412" t="s">
        <v>345</v>
      </c>
      <c r="H109" s="412" t="s">
        <v>539</v>
      </c>
      <c r="I109" s="413">
        <v>45489</v>
      </c>
      <c r="J109" s="415">
        <v>24.74</v>
      </c>
      <c r="K109" s="412" t="s">
        <v>5</v>
      </c>
      <c r="L109" s="412" t="s">
        <v>347</v>
      </c>
      <c r="M109" s="412" t="s">
        <v>387</v>
      </c>
    </row>
    <row r="110" spans="1:13" x14ac:dyDescent="0.2">
      <c r="A110" s="412" t="s">
        <v>341</v>
      </c>
      <c r="B110" s="413">
        <v>45489</v>
      </c>
      <c r="C110" s="412" t="s">
        <v>540</v>
      </c>
      <c r="D110" s="412" t="s">
        <v>450</v>
      </c>
      <c r="E110" s="414" t="s">
        <v>487</v>
      </c>
      <c r="F110" s="414" t="s">
        <v>487</v>
      </c>
      <c r="G110" s="412" t="s">
        <v>345</v>
      </c>
      <c r="H110" s="412" t="s">
        <v>541</v>
      </c>
      <c r="I110" s="413">
        <v>45489</v>
      </c>
      <c r="J110" s="415">
        <v>264.26</v>
      </c>
      <c r="K110" s="412" t="s">
        <v>5</v>
      </c>
      <c r="L110" s="412" t="s">
        <v>347</v>
      </c>
      <c r="M110" s="412" t="s">
        <v>387</v>
      </c>
    </row>
    <row r="111" spans="1:13" x14ac:dyDescent="0.2">
      <c r="A111" s="412" t="s">
        <v>341</v>
      </c>
      <c r="B111" s="413">
        <v>45489</v>
      </c>
      <c r="C111" s="412" t="s">
        <v>542</v>
      </c>
      <c r="D111" s="412" t="s">
        <v>431</v>
      </c>
      <c r="E111" s="414" t="s">
        <v>543</v>
      </c>
      <c r="F111" s="414" t="s">
        <v>543</v>
      </c>
      <c r="G111" s="412" t="s">
        <v>345</v>
      </c>
      <c r="H111" s="412" t="s">
        <v>544</v>
      </c>
      <c r="I111" s="413">
        <v>45489</v>
      </c>
      <c r="J111" s="415">
        <v>928.37</v>
      </c>
      <c r="K111" s="412" t="s">
        <v>5</v>
      </c>
      <c r="L111" s="412" t="s">
        <v>429</v>
      </c>
      <c r="M111" s="412" t="s">
        <v>387</v>
      </c>
    </row>
    <row r="112" spans="1:13" x14ac:dyDescent="0.2">
      <c r="A112" s="412" t="s">
        <v>341</v>
      </c>
      <c r="B112" s="413">
        <v>45489</v>
      </c>
      <c r="C112" s="412" t="s">
        <v>545</v>
      </c>
      <c r="D112" s="412" t="s">
        <v>389</v>
      </c>
      <c r="E112" s="414" t="s">
        <v>546</v>
      </c>
      <c r="F112" s="414" t="s">
        <v>546</v>
      </c>
      <c r="G112" s="412" t="s">
        <v>345</v>
      </c>
      <c r="H112" s="412" t="s">
        <v>547</v>
      </c>
      <c r="I112" s="413">
        <v>45489</v>
      </c>
      <c r="J112" s="415">
        <v>82.4</v>
      </c>
      <c r="K112" s="412" t="s">
        <v>5</v>
      </c>
      <c r="L112" s="412" t="s">
        <v>347</v>
      </c>
      <c r="M112" s="412" t="s">
        <v>387</v>
      </c>
    </row>
    <row r="113" spans="1:13" x14ac:dyDescent="0.2">
      <c r="A113" s="412" t="s">
        <v>341</v>
      </c>
      <c r="B113" s="413">
        <v>45489</v>
      </c>
      <c r="C113" s="412" t="s">
        <v>548</v>
      </c>
      <c r="D113" s="412" t="s">
        <v>393</v>
      </c>
      <c r="E113" s="414" t="s">
        <v>394</v>
      </c>
      <c r="F113" s="414" t="s">
        <v>394</v>
      </c>
      <c r="G113" s="412" t="s">
        <v>345</v>
      </c>
      <c r="H113" s="412" t="s">
        <v>549</v>
      </c>
      <c r="I113" s="413">
        <v>45489</v>
      </c>
      <c r="J113" s="415">
        <v>24.74</v>
      </c>
      <c r="K113" s="412" t="s">
        <v>5</v>
      </c>
      <c r="L113" s="412" t="s">
        <v>347</v>
      </c>
      <c r="M113" s="412" t="s">
        <v>387</v>
      </c>
    </row>
    <row r="114" spans="1:13" x14ac:dyDescent="0.2">
      <c r="A114" s="412" t="s">
        <v>341</v>
      </c>
      <c r="B114" s="413">
        <v>45490</v>
      </c>
      <c r="C114" s="412" t="s">
        <v>550</v>
      </c>
      <c r="D114" s="412" t="s">
        <v>384</v>
      </c>
      <c r="E114" s="414" t="s">
        <v>551</v>
      </c>
      <c r="F114" s="414" t="s">
        <v>551</v>
      </c>
      <c r="G114" s="412" t="s">
        <v>345</v>
      </c>
      <c r="H114" s="412" t="s">
        <v>552</v>
      </c>
      <c r="I114" s="413">
        <v>45490</v>
      </c>
      <c r="J114" s="415">
        <v>78.87</v>
      </c>
      <c r="K114" s="412" t="s">
        <v>5</v>
      </c>
      <c r="L114" s="412" t="s">
        <v>347</v>
      </c>
      <c r="M114" s="412" t="s">
        <v>387</v>
      </c>
    </row>
    <row r="115" spans="1:13" x14ac:dyDescent="0.2">
      <c r="A115" s="412" t="s">
        <v>341</v>
      </c>
      <c r="B115" s="413">
        <v>45492</v>
      </c>
      <c r="C115" s="412" t="s">
        <v>553</v>
      </c>
      <c r="D115" s="412" t="s">
        <v>477</v>
      </c>
      <c r="E115" s="414" t="s">
        <v>554</v>
      </c>
      <c r="F115" s="414" t="s">
        <v>554</v>
      </c>
      <c r="G115" s="412" t="s">
        <v>345</v>
      </c>
      <c r="H115" s="412" t="s">
        <v>555</v>
      </c>
      <c r="I115" s="413">
        <v>45492</v>
      </c>
      <c r="J115" s="415">
        <v>12951.5</v>
      </c>
      <c r="K115" s="412" t="s">
        <v>5</v>
      </c>
      <c r="L115" s="412" t="s">
        <v>347</v>
      </c>
      <c r="M115" s="412" t="s">
        <v>387</v>
      </c>
    </row>
    <row r="116" spans="1:13" x14ac:dyDescent="0.2">
      <c r="A116" s="412" t="s">
        <v>341</v>
      </c>
      <c r="B116" s="413">
        <v>45492</v>
      </c>
      <c r="C116" s="412" t="s">
        <v>556</v>
      </c>
      <c r="D116" s="412" t="s">
        <v>481</v>
      </c>
      <c r="E116" s="414" t="s">
        <v>557</v>
      </c>
      <c r="F116" s="414" t="s">
        <v>557</v>
      </c>
      <c r="G116" s="412" t="s">
        <v>345</v>
      </c>
      <c r="H116" s="412" t="s">
        <v>483</v>
      </c>
      <c r="I116" s="413">
        <v>45492</v>
      </c>
      <c r="J116" s="415">
        <v>2719.82</v>
      </c>
      <c r="K116" s="412" t="s">
        <v>5</v>
      </c>
      <c r="L116" s="412" t="s">
        <v>347</v>
      </c>
      <c r="M116" s="412" t="s">
        <v>387</v>
      </c>
    </row>
    <row r="117" spans="1:13" x14ac:dyDescent="0.2">
      <c r="A117" s="412" t="s">
        <v>341</v>
      </c>
      <c r="B117" s="413">
        <v>45492</v>
      </c>
      <c r="C117" s="412" t="s">
        <v>558</v>
      </c>
      <c r="D117" s="412" t="s">
        <v>393</v>
      </c>
      <c r="E117" s="414" t="s">
        <v>394</v>
      </c>
      <c r="F117" s="414" t="s">
        <v>394</v>
      </c>
      <c r="G117" s="412" t="s">
        <v>345</v>
      </c>
      <c r="H117" s="412" t="s">
        <v>559</v>
      </c>
      <c r="I117" s="413">
        <v>45492</v>
      </c>
      <c r="J117" s="415">
        <v>24.74</v>
      </c>
      <c r="K117" s="412" t="s">
        <v>5</v>
      </c>
      <c r="L117" s="412" t="s">
        <v>347</v>
      </c>
      <c r="M117" s="412" t="s">
        <v>387</v>
      </c>
    </row>
    <row r="118" spans="1:13" x14ac:dyDescent="0.2">
      <c r="A118" s="412" t="s">
        <v>341</v>
      </c>
      <c r="B118" s="413">
        <v>45498</v>
      </c>
      <c r="C118" s="412" t="s">
        <v>560</v>
      </c>
      <c r="D118" s="412" t="s">
        <v>393</v>
      </c>
      <c r="E118" s="414" t="s">
        <v>394</v>
      </c>
      <c r="F118" s="414" t="s">
        <v>394</v>
      </c>
      <c r="G118" s="412" t="s">
        <v>345</v>
      </c>
      <c r="H118" s="412" t="s">
        <v>561</v>
      </c>
      <c r="I118" s="413">
        <v>45498</v>
      </c>
      <c r="J118" s="415">
        <v>24.74</v>
      </c>
      <c r="K118" s="412" t="s">
        <v>5</v>
      </c>
      <c r="L118" s="412" t="s">
        <v>347</v>
      </c>
      <c r="M118" s="412" t="s">
        <v>387</v>
      </c>
    </row>
    <row r="119" spans="1:13" x14ac:dyDescent="0.2">
      <c r="A119" s="412" t="s">
        <v>341</v>
      </c>
      <c r="B119" s="413">
        <v>45498</v>
      </c>
      <c r="C119" s="412" t="s">
        <v>562</v>
      </c>
      <c r="D119" s="412" t="s">
        <v>389</v>
      </c>
      <c r="E119" s="414" t="s">
        <v>546</v>
      </c>
      <c r="F119" s="414" t="s">
        <v>546</v>
      </c>
      <c r="G119" s="412" t="s">
        <v>345</v>
      </c>
      <c r="H119" s="412" t="s">
        <v>563</v>
      </c>
      <c r="I119" s="413">
        <v>45498</v>
      </c>
      <c r="J119" s="415">
        <v>82.4</v>
      </c>
      <c r="K119" s="412" t="s">
        <v>5</v>
      </c>
      <c r="L119" s="412" t="s">
        <v>347</v>
      </c>
      <c r="M119" s="412" t="s">
        <v>387</v>
      </c>
    </row>
    <row r="120" spans="1:13" x14ac:dyDescent="0.2">
      <c r="A120" s="412" t="s">
        <v>341</v>
      </c>
      <c r="B120" s="413">
        <v>45498</v>
      </c>
      <c r="C120" s="412" t="s">
        <v>564</v>
      </c>
      <c r="D120" s="412" t="s">
        <v>403</v>
      </c>
      <c r="E120" s="414" t="s">
        <v>404</v>
      </c>
      <c r="F120" s="414" t="s">
        <v>404</v>
      </c>
      <c r="G120" s="412" t="s">
        <v>345</v>
      </c>
      <c r="H120" s="412" t="s">
        <v>565</v>
      </c>
      <c r="I120" s="413">
        <v>45498</v>
      </c>
      <c r="J120" s="415">
        <v>931.7</v>
      </c>
      <c r="K120" s="412" t="s">
        <v>5</v>
      </c>
      <c r="L120" s="412" t="s">
        <v>347</v>
      </c>
      <c r="M120" s="412" t="s">
        <v>387</v>
      </c>
    </row>
    <row r="121" spans="1:13" x14ac:dyDescent="0.2">
      <c r="A121" s="412" t="s">
        <v>341</v>
      </c>
      <c r="B121" s="413">
        <v>45505</v>
      </c>
      <c r="C121" s="412" t="s">
        <v>566</v>
      </c>
      <c r="D121" s="412" t="s">
        <v>393</v>
      </c>
      <c r="E121" s="414" t="s">
        <v>394</v>
      </c>
      <c r="F121" s="414" t="s">
        <v>394</v>
      </c>
      <c r="G121" s="412" t="s">
        <v>345</v>
      </c>
      <c r="H121" s="412" t="s">
        <v>567</v>
      </c>
      <c r="I121" s="413">
        <v>45505</v>
      </c>
      <c r="J121" s="415">
        <v>24.74</v>
      </c>
      <c r="K121" s="412" t="s">
        <v>5</v>
      </c>
      <c r="L121" s="412" t="s">
        <v>347</v>
      </c>
      <c r="M121" s="412" t="s">
        <v>387</v>
      </c>
    </row>
    <row r="122" spans="1:13" x14ac:dyDescent="0.2">
      <c r="A122" s="412" t="s">
        <v>341</v>
      </c>
      <c r="B122" s="413">
        <v>45510</v>
      </c>
      <c r="C122" s="412" t="s">
        <v>568</v>
      </c>
      <c r="D122" s="412" t="s">
        <v>431</v>
      </c>
      <c r="E122" s="414" t="s">
        <v>569</v>
      </c>
      <c r="F122" s="414" t="s">
        <v>569</v>
      </c>
      <c r="G122" s="412" t="s">
        <v>345</v>
      </c>
      <c r="H122" s="412" t="s">
        <v>570</v>
      </c>
      <c r="I122" s="413">
        <v>45510</v>
      </c>
      <c r="J122" s="415">
        <v>915.57</v>
      </c>
      <c r="K122" s="412" t="s">
        <v>5</v>
      </c>
      <c r="L122" s="412" t="s">
        <v>347</v>
      </c>
      <c r="M122" s="412" t="s">
        <v>387</v>
      </c>
    </row>
    <row r="123" spans="1:13" x14ac:dyDescent="0.2">
      <c r="A123" s="412" t="s">
        <v>341</v>
      </c>
      <c r="B123" s="413">
        <v>45512</v>
      </c>
      <c r="C123" s="412" t="s">
        <v>571</v>
      </c>
      <c r="D123" s="412" t="s">
        <v>384</v>
      </c>
      <c r="E123" s="414" t="s">
        <v>572</v>
      </c>
      <c r="F123" s="414" t="s">
        <v>572</v>
      </c>
      <c r="G123" s="412" t="s">
        <v>345</v>
      </c>
      <c r="H123" s="412" t="s">
        <v>573</v>
      </c>
      <c r="I123" s="413">
        <v>45512</v>
      </c>
      <c r="J123" s="415">
        <v>99.05</v>
      </c>
      <c r="K123" s="412" t="s">
        <v>5</v>
      </c>
      <c r="L123" s="412" t="s">
        <v>347</v>
      </c>
      <c r="M123" s="412" t="s">
        <v>387</v>
      </c>
    </row>
    <row r="124" spans="1:13" x14ac:dyDescent="0.2">
      <c r="A124" s="412" t="s">
        <v>341</v>
      </c>
      <c r="B124" s="413">
        <v>45513</v>
      </c>
      <c r="C124" s="412" t="s">
        <v>574</v>
      </c>
      <c r="D124" s="412" t="s">
        <v>393</v>
      </c>
      <c r="E124" s="414" t="s">
        <v>394</v>
      </c>
      <c r="F124" s="414" t="s">
        <v>394</v>
      </c>
      <c r="G124" s="412" t="s">
        <v>345</v>
      </c>
      <c r="H124" s="412" t="s">
        <v>575</v>
      </c>
      <c r="I124" s="413">
        <v>45513</v>
      </c>
      <c r="J124" s="415">
        <v>24.74</v>
      </c>
      <c r="K124" s="412" t="s">
        <v>5</v>
      </c>
      <c r="L124" s="412" t="s">
        <v>347</v>
      </c>
      <c r="M124" s="412" t="s">
        <v>387</v>
      </c>
    </row>
    <row r="125" spans="1:13" x14ac:dyDescent="0.2">
      <c r="A125" s="412" t="s">
        <v>341</v>
      </c>
      <c r="B125" s="413">
        <v>45517</v>
      </c>
      <c r="C125" s="412" t="s">
        <v>576</v>
      </c>
      <c r="D125" s="412" t="s">
        <v>450</v>
      </c>
      <c r="E125" s="414" t="s">
        <v>451</v>
      </c>
      <c r="F125" s="414" t="s">
        <v>451</v>
      </c>
      <c r="G125" s="412" t="s">
        <v>345</v>
      </c>
      <c r="H125" s="412" t="s">
        <v>577</v>
      </c>
      <c r="I125" s="413">
        <v>45517</v>
      </c>
      <c r="J125" s="415">
        <v>235.95</v>
      </c>
      <c r="K125" s="412" t="s">
        <v>5</v>
      </c>
      <c r="L125" s="412" t="s">
        <v>347</v>
      </c>
      <c r="M125" s="412" t="s">
        <v>387</v>
      </c>
    </row>
    <row r="126" spans="1:13" x14ac:dyDescent="0.2">
      <c r="A126" s="412" t="s">
        <v>341</v>
      </c>
      <c r="B126" s="413">
        <v>45524</v>
      </c>
      <c r="C126" s="412" t="s">
        <v>578</v>
      </c>
      <c r="D126" s="412" t="s">
        <v>389</v>
      </c>
      <c r="E126" s="414" t="s">
        <v>546</v>
      </c>
      <c r="F126" s="414" t="s">
        <v>546</v>
      </c>
      <c r="G126" s="412" t="s">
        <v>345</v>
      </c>
      <c r="H126" s="412" t="s">
        <v>579</v>
      </c>
      <c r="I126" s="413">
        <v>45524</v>
      </c>
      <c r="J126" s="415">
        <v>82.4</v>
      </c>
      <c r="K126" s="412" t="s">
        <v>5</v>
      </c>
      <c r="L126" s="412" t="s">
        <v>347</v>
      </c>
      <c r="M126" s="412" t="s">
        <v>387</v>
      </c>
    </row>
    <row r="127" spans="1:13" x14ac:dyDescent="0.2">
      <c r="A127" s="412" t="s">
        <v>341</v>
      </c>
      <c r="B127" s="413">
        <v>45526</v>
      </c>
      <c r="C127" s="412" t="s">
        <v>580</v>
      </c>
      <c r="D127" s="412" t="s">
        <v>393</v>
      </c>
      <c r="E127" s="414" t="s">
        <v>394</v>
      </c>
      <c r="F127" s="414" t="s">
        <v>394</v>
      </c>
      <c r="G127" s="412" t="s">
        <v>345</v>
      </c>
      <c r="H127" s="412" t="s">
        <v>581</v>
      </c>
      <c r="I127" s="413">
        <v>45526</v>
      </c>
      <c r="J127" s="415">
        <v>24.74</v>
      </c>
      <c r="K127" s="412" t="s">
        <v>5</v>
      </c>
      <c r="L127" s="412" t="s">
        <v>347</v>
      </c>
      <c r="M127" s="412" t="s">
        <v>387</v>
      </c>
    </row>
    <row r="128" spans="1:13" x14ac:dyDescent="0.2">
      <c r="A128" s="412" t="s">
        <v>341</v>
      </c>
      <c r="B128" s="413">
        <v>45530</v>
      </c>
      <c r="C128" s="412" t="s">
        <v>582</v>
      </c>
      <c r="D128" s="412" t="s">
        <v>393</v>
      </c>
      <c r="E128" s="414" t="s">
        <v>394</v>
      </c>
      <c r="F128" s="414" t="s">
        <v>394</v>
      </c>
      <c r="G128" s="412" t="s">
        <v>345</v>
      </c>
      <c r="H128" s="412" t="s">
        <v>583</v>
      </c>
      <c r="I128" s="413">
        <v>45530</v>
      </c>
      <c r="J128" s="415">
        <v>24.74</v>
      </c>
      <c r="K128" s="412" t="s">
        <v>5</v>
      </c>
      <c r="L128" s="412" t="s">
        <v>429</v>
      </c>
      <c r="M128" s="412" t="s">
        <v>387</v>
      </c>
    </row>
    <row r="129" spans="1:13" x14ac:dyDescent="0.2">
      <c r="A129" s="412" t="s">
        <v>341</v>
      </c>
      <c r="B129" s="413">
        <v>45534</v>
      </c>
      <c r="C129" s="412" t="s">
        <v>584</v>
      </c>
      <c r="D129" s="412" t="s">
        <v>393</v>
      </c>
      <c r="E129" s="414" t="s">
        <v>394</v>
      </c>
      <c r="F129" s="414" t="s">
        <v>394</v>
      </c>
      <c r="G129" s="412" t="s">
        <v>345</v>
      </c>
      <c r="H129" s="412" t="s">
        <v>585</v>
      </c>
      <c r="I129" s="413">
        <v>45536</v>
      </c>
      <c r="J129" s="415">
        <v>24.74</v>
      </c>
      <c r="K129" s="412" t="s">
        <v>5</v>
      </c>
      <c r="L129" s="412" t="s">
        <v>347</v>
      </c>
      <c r="M129" s="412" t="s">
        <v>387</v>
      </c>
    </row>
    <row r="130" spans="1:13" x14ac:dyDescent="0.2">
      <c r="A130" s="412" t="s">
        <v>341</v>
      </c>
      <c r="B130" s="413">
        <v>45534</v>
      </c>
      <c r="C130" s="412" t="s">
        <v>586</v>
      </c>
      <c r="D130" s="412" t="s">
        <v>389</v>
      </c>
      <c r="E130" s="414" t="s">
        <v>546</v>
      </c>
      <c r="F130" s="414" t="s">
        <v>546</v>
      </c>
      <c r="G130" s="412" t="s">
        <v>345</v>
      </c>
      <c r="H130" s="412" t="s">
        <v>587</v>
      </c>
      <c r="I130" s="413">
        <v>45536</v>
      </c>
      <c r="J130" s="415">
        <v>82.4</v>
      </c>
      <c r="K130" s="412" t="s">
        <v>5</v>
      </c>
      <c r="L130" s="412" t="s">
        <v>347</v>
      </c>
      <c r="M130" s="412" t="s">
        <v>387</v>
      </c>
    </row>
    <row r="131" spans="1:13" x14ac:dyDescent="0.2">
      <c r="A131" s="412" t="s">
        <v>341</v>
      </c>
      <c r="B131" s="413">
        <v>45538</v>
      </c>
      <c r="C131" s="412" t="s">
        <v>588</v>
      </c>
      <c r="D131" s="412" t="s">
        <v>384</v>
      </c>
      <c r="E131" s="414" t="s">
        <v>589</v>
      </c>
      <c r="F131" s="414" t="s">
        <v>589</v>
      </c>
      <c r="G131" s="412" t="s">
        <v>345</v>
      </c>
      <c r="H131" s="412" t="s">
        <v>590</v>
      </c>
      <c r="I131" s="413">
        <v>45538</v>
      </c>
      <c r="J131" s="415">
        <v>104.85</v>
      </c>
      <c r="K131" s="412" t="s">
        <v>5</v>
      </c>
      <c r="L131" s="412" t="s">
        <v>347</v>
      </c>
      <c r="M131" s="412" t="s">
        <v>387</v>
      </c>
    </row>
    <row r="132" spans="1:13" x14ac:dyDescent="0.2">
      <c r="A132" s="412" t="s">
        <v>341</v>
      </c>
      <c r="B132" s="413">
        <v>45539</v>
      </c>
      <c r="C132" s="412" t="s">
        <v>591</v>
      </c>
      <c r="D132" s="412" t="s">
        <v>389</v>
      </c>
      <c r="E132" s="414" t="s">
        <v>513</v>
      </c>
      <c r="F132" s="414" t="s">
        <v>513</v>
      </c>
      <c r="G132" s="412" t="s">
        <v>345</v>
      </c>
      <c r="H132" s="412" t="s">
        <v>592</v>
      </c>
      <c r="I132" s="413">
        <v>45539</v>
      </c>
      <c r="J132" s="415">
        <v>80</v>
      </c>
      <c r="K132" s="412" t="s">
        <v>5</v>
      </c>
      <c r="L132" s="412" t="s">
        <v>347</v>
      </c>
      <c r="M132" s="412" t="s">
        <v>387</v>
      </c>
    </row>
    <row r="133" spans="1:13" x14ac:dyDescent="0.2">
      <c r="A133" s="412" t="s">
        <v>341</v>
      </c>
      <c r="B133" s="413">
        <v>45539</v>
      </c>
      <c r="C133" s="412" t="s">
        <v>593</v>
      </c>
      <c r="D133" s="412" t="s">
        <v>393</v>
      </c>
      <c r="E133" s="414" t="s">
        <v>394</v>
      </c>
      <c r="F133" s="414" t="s">
        <v>394</v>
      </c>
      <c r="G133" s="412" t="s">
        <v>345</v>
      </c>
      <c r="H133" s="412" t="s">
        <v>594</v>
      </c>
      <c r="I133" s="413">
        <v>45539</v>
      </c>
      <c r="J133" s="415">
        <v>24.74</v>
      </c>
      <c r="K133" s="412" t="s">
        <v>5</v>
      </c>
      <c r="L133" s="412" t="s">
        <v>347</v>
      </c>
      <c r="M133" s="412" t="s">
        <v>387</v>
      </c>
    </row>
    <row r="134" spans="1:13" x14ac:dyDescent="0.2">
      <c r="A134" s="412" t="s">
        <v>341</v>
      </c>
      <c r="B134" s="413">
        <v>45552</v>
      </c>
      <c r="C134" s="412" t="s">
        <v>595</v>
      </c>
      <c r="D134" s="412" t="s">
        <v>431</v>
      </c>
      <c r="E134" s="414" t="s">
        <v>596</v>
      </c>
      <c r="F134" s="414" t="s">
        <v>596</v>
      </c>
      <c r="G134" s="412" t="s">
        <v>345</v>
      </c>
      <c r="H134" s="412" t="s">
        <v>597</v>
      </c>
      <c r="I134" s="413">
        <v>45552</v>
      </c>
      <c r="J134" s="415">
        <v>164.56</v>
      </c>
      <c r="K134" s="412" t="s">
        <v>5</v>
      </c>
      <c r="L134" s="412" t="s">
        <v>347</v>
      </c>
      <c r="M134" s="412" t="s">
        <v>387</v>
      </c>
    </row>
    <row r="135" spans="1:13" x14ac:dyDescent="0.2">
      <c r="A135" s="412" t="s">
        <v>341</v>
      </c>
      <c r="B135" s="413">
        <v>45553</v>
      </c>
      <c r="C135" s="412" t="s">
        <v>598</v>
      </c>
      <c r="D135" s="412" t="s">
        <v>393</v>
      </c>
      <c r="E135" s="414" t="s">
        <v>394</v>
      </c>
      <c r="F135" s="414" t="s">
        <v>394</v>
      </c>
      <c r="G135" s="412" t="s">
        <v>345</v>
      </c>
      <c r="H135" s="412" t="s">
        <v>599</v>
      </c>
      <c r="I135" s="413">
        <v>45554</v>
      </c>
      <c r="J135" s="415">
        <v>24.74</v>
      </c>
      <c r="K135" s="412" t="s">
        <v>5</v>
      </c>
      <c r="L135" s="412" t="s">
        <v>347</v>
      </c>
      <c r="M135" s="412" t="s">
        <v>387</v>
      </c>
    </row>
    <row r="136" spans="1:13" x14ac:dyDescent="0.2">
      <c r="A136" s="412" t="s">
        <v>341</v>
      </c>
      <c r="B136" s="413">
        <v>45553</v>
      </c>
      <c r="C136" s="412" t="s">
        <v>600</v>
      </c>
      <c r="D136" s="412" t="s">
        <v>450</v>
      </c>
      <c r="E136" s="414" t="s">
        <v>451</v>
      </c>
      <c r="F136" s="414" t="s">
        <v>451</v>
      </c>
      <c r="G136" s="412" t="s">
        <v>345</v>
      </c>
      <c r="H136" s="412" t="s">
        <v>601</v>
      </c>
      <c r="I136" s="413">
        <v>45554</v>
      </c>
      <c r="J136" s="415">
        <v>235.95</v>
      </c>
      <c r="K136" s="412" t="s">
        <v>5</v>
      </c>
      <c r="L136" s="412" t="s">
        <v>347</v>
      </c>
      <c r="M136" s="412" t="s">
        <v>387</v>
      </c>
    </row>
    <row r="137" spans="1:13" x14ac:dyDescent="0.2">
      <c r="A137" s="412" t="s">
        <v>341</v>
      </c>
      <c r="B137" s="413">
        <v>45553</v>
      </c>
      <c r="C137" s="412" t="s">
        <v>602</v>
      </c>
      <c r="D137" s="412" t="s">
        <v>389</v>
      </c>
      <c r="E137" s="414" t="s">
        <v>513</v>
      </c>
      <c r="F137" s="414" t="s">
        <v>513</v>
      </c>
      <c r="G137" s="412" t="s">
        <v>345</v>
      </c>
      <c r="H137" s="412" t="s">
        <v>603</v>
      </c>
      <c r="I137" s="413">
        <v>45554</v>
      </c>
      <c r="J137" s="415">
        <v>80</v>
      </c>
      <c r="K137" s="412" t="s">
        <v>5</v>
      </c>
      <c r="L137" s="412" t="s">
        <v>347</v>
      </c>
      <c r="M137" s="412" t="s">
        <v>387</v>
      </c>
    </row>
    <row r="138" spans="1:13" x14ac:dyDescent="0.2">
      <c r="A138" s="412" t="s">
        <v>341</v>
      </c>
      <c r="B138" s="413">
        <v>45553</v>
      </c>
      <c r="C138" s="412" t="s">
        <v>604</v>
      </c>
      <c r="D138" s="412" t="s">
        <v>393</v>
      </c>
      <c r="E138" s="414" t="s">
        <v>394</v>
      </c>
      <c r="F138" s="414" t="s">
        <v>394</v>
      </c>
      <c r="G138" s="412" t="s">
        <v>345</v>
      </c>
      <c r="H138" s="412" t="s">
        <v>605</v>
      </c>
      <c r="I138" s="413">
        <v>45554</v>
      </c>
      <c r="J138" s="415">
        <v>24.74</v>
      </c>
      <c r="K138" s="412" t="s">
        <v>5</v>
      </c>
      <c r="L138" s="412" t="s">
        <v>347</v>
      </c>
      <c r="M138" s="412" t="s">
        <v>387</v>
      </c>
    </row>
    <row r="139" spans="1:13" x14ac:dyDescent="0.2">
      <c r="A139" s="412" t="s">
        <v>341</v>
      </c>
      <c r="B139" s="413">
        <v>45560</v>
      </c>
      <c r="C139" s="412" t="s">
        <v>606</v>
      </c>
      <c r="D139" s="412" t="s">
        <v>431</v>
      </c>
      <c r="E139" s="414" t="s">
        <v>607</v>
      </c>
      <c r="F139" s="414" t="s">
        <v>607</v>
      </c>
      <c r="G139" s="412" t="s">
        <v>345</v>
      </c>
      <c r="H139" s="412" t="s">
        <v>608</v>
      </c>
      <c r="I139" s="413">
        <v>45560</v>
      </c>
      <c r="J139" s="415">
        <v>56.84</v>
      </c>
      <c r="K139" s="412" t="s">
        <v>5</v>
      </c>
      <c r="L139" s="412" t="s">
        <v>347</v>
      </c>
      <c r="M139" s="412" t="s">
        <v>387</v>
      </c>
    </row>
    <row r="140" spans="1:13" x14ac:dyDescent="0.2">
      <c r="A140" s="412" t="s">
        <v>341</v>
      </c>
      <c r="B140" s="413">
        <v>45560</v>
      </c>
      <c r="C140" s="412" t="s">
        <v>606</v>
      </c>
      <c r="D140" s="412" t="s">
        <v>431</v>
      </c>
      <c r="E140" s="414" t="s">
        <v>607</v>
      </c>
      <c r="F140" s="414" t="s">
        <v>607</v>
      </c>
      <c r="G140" s="412" t="s">
        <v>345</v>
      </c>
      <c r="H140" s="412" t="s">
        <v>608</v>
      </c>
      <c r="I140" s="413">
        <v>45560</v>
      </c>
      <c r="J140" s="415">
        <v>627.21</v>
      </c>
      <c r="K140" s="412" t="s">
        <v>5</v>
      </c>
      <c r="L140" s="412" t="s">
        <v>347</v>
      </c>
      <c r="M140" s="412" t="s">
        <v>387</v>
      </c>
    </row>
    <row r="141" spans="1:13" x14ac:dyDescent="0.2">
      <c r="A141" s="412" t="s">
        <v>341</v>
      </c>
      <c r="B141" s="413">
        <v>45560</v>
      </c>
      <c r="C141" s="412" t="s">
        <v>609</v>
      </c>
      <c r="D141" s="412" t="s">
        <v>389</v>
      </c>
      <c r="E141" s="414" t="s">
        <v>513</v>
      </c>
      <c r="F141" s="414" t="s">
        <v>513</v>
      </c>
      <c r="G141" s="412" t="s">
        <v>345</v>
      </c>
      <c r="H141" s="412" t="s">
        <v>610</v>
      </c>
      <c r="I141" s="413">
        <v>45560</v>
      </c>
      <c r="J141" s="415">
        <v>80</v>
      </c>
      <c r="K141" s="412" t="s">
        <v>5</v>
      </c>
      <c r="L141" s="412" t="s">
        <v>347</v>
      </c>
      <c r="M141" s="412" t="s">
        <v>387</v>
      </c>
    </row>
    <row r="142" spans="1:13" x14ac:dyDescent="0.2">
      <c r="A142" s="412" t="s">
        <v>341</v>
      </c>
      <c r="B142" s="413">
        <v>45561</v>
      </c>
      <c r="C142" s="412" t="s">
        <v>611</v>
      </c>
      <c r="D142" s="412" t="s">
        <v>393</v>
      </c>
      <c r="E142" s="414" t="s">
        <v>394</v>
      </c>
      <c r="F142" s="414" t="s">
        <v>394</v>
      </c>
      <c r="G142" s="412" t="s">
        <v>345</v>
      </c>
      <c r="H142" s="412" t="s">
        <v>612</v>
      </c>
      <c r="I142" s="413">
        <v>45561</v>
      </c>
      <c r="J142" s="415">
        <v>24.74</v>
      </c>
      <c r="K142" s="412" t="s">
        <v>5</v>
      </c>
      <c r="L142" s="412" t="s">
        <v>347</v>
      </c>
      <c r="M142" s="412" t="s">
        <v>387</v>
      </c>
    </row>
    <row r="143" spans="1:13" x14ac:dyDescent="0.2">
      <c r="A143" s="412" t="s">
        <v>341</v>
      </c>
      <c r="B143" s="413">
        <v>45568</v>
      </c>
      <c r="C143" s="412" t="s">
        <v>613</v>
      </c>
      <c r="D143" s="412" t="s">
        <v>393</v>
      </c>
      <c r="E143" s="414" t="s">
        <v>394</v>
      </c>
      <c r="F143" s="414" t="s">
        <v>394</v>
      </c>
      <c r="G143" s="412" t="s">
        <v>345</v>
      </c>
      <c r="H143" s="412" t="s">
        <v>614</v>
      </c>
      <c r="I143" s="413">
        <v>45568</v>
      </c>
      <c r="J143" s="415">
        <v>24.74</v>
      </c>
      <c r="K143" s="412" t="s">
        <v>5</v>
      </c>
      <c r="L143" s="412" t="s">
        <v>347</v>
      </c>
      <c r="M143" s="412" t="s">
        <v>387</v>
      </c>
    </row>
    <row r="144" spans="1:13" x14ac:dyDescent="0.2">
      <c r="A144" s="412" t="s">
        <v>341</v>
      </c>
      <c r="B144" s="413">
        <v>45575</v>
      </c>
      <c r="C144" s="412" t="s">
        <v>615</v>
      </c>
      <c r="D144" s="412" t="s">
        <v>616</v>
      </c>
      <c r="E144" s="414" t="s">
        <v>617</v>
      </c>
      <c r="F144" s="414" t="s">
        <v>617</v>
      </c>
      <c r="G144" s="412" t="s">
        <v>345</v>
      </c>
      <c r="H144" s="412" t="s">
        <v>618</v>
      </c>
      <c r="I144" s="413">
        <v>45576</v>
      </c>
      <c r="J144" s="415">
        <v>4386.25</v>
      </c>
      <c r="K144" s="412" t="s">
        <v>5</v>
      </c>
      <c r="L144" s="412" t="s">
        <v>347</v>
      </c>
      <c r="M144" s="412" t="s">
        <v>387</v>
      </c>
    </row>
    <row r="145" spans="1:13" x14ac:dyDescent="0.2">
      <c r="A145" s="412" t="s">
        <v>341</v>
      </c>
      <c r="B145" s="413">
        <v>45575</v>
      </c>
      <c r="C145" s="412" t="s">
        <v>619</v>
      </c>
      <c r="D145" s="412" t="s">
        <v>389</v>
      </c>
      <c r="E145" s="414" t="s">
        <v>513</v>
      </c>
      <c r="F145" s="414" t="s">
        <v>513</v>
      </c>
      <c r="G145" s="412" t="s">
        <v>345</v>
      </c>
      <c r="H145" s="412" t="s">
        <v>620</v>
      </c>
      <c r="I145" s="413">
        <v>45576</v>
      </c>
      <c r="J145" s="415">
        <v>80</v>
      </c>
      <c r="K145" s="412" t="s">
        <v>5</v>
      </c>
      <c r="L145" s="412" t="s">
        <v>347</v>
      </c>
      <c r="M145" s="412" t="s">
        <v>387</v>
      </c>
    </row>
    <row r="146" spans="1:13" x14ac:dyDescent="0.2">
      <c r="A146" s="412" t="s">
        <v>341</v>
      </c>
      <c r="B146" s="413">
        <v>45579</v>
      </c>
      <c r="C146" s="412" t="s">
        <v>621</v>
      </c>
      <c r="D146" s="412" t="s">
        <v>393</v>
      </c>
      <c r="E146" s="414" t="s">
        <v>394</v>
      </c>
      <c r="F146" s="414" t="s">
        <v>394</v>
      </c>
      <c r="G146" s="412" t="s">
        <v>345</v>
      </c>
      <c r="H146" s="412" t="s">
        <v>622</v>
      </c>
      <c r="I146" s="413">
        <v>45579</v>
      </c>
      <c r="J146" s="415">
        <v>24.74</v>
      </c>
      <c r="K146" s="412" t="s">
        <v>5</v>
      </c>
      <c r="L146" s="412" t="s">
        <v>347</v>
      </c>
      <c r="M146" s="412" t="s">
        <v>387</v>
      </c>
    </row>
    <row r="147" spans="1:13" x14ac:dyDescent="0.2">
      <c r="A147" s="412" t="s">
        <v>341</v>
      </c>
      <c r="B147" s="413">
        <v>45580</v>
      </c>
      <c r="C147" s="412" t="s">
        <v>623</v>
      </c>
      <c r="D147" s="412" t="s">
        <v>384</v>
      </c>
      <c r="E147" s="414" t="s">
        <v>624</v>
      </c>
      <c r="F147" s="414" t="s">
        <v>624</v>
      </c>
      <c r="G147" s="412" t="s">
        <v>345</v>
      </c>
      <c r="H147" s="412" t="s">
        <v>625</v>
      </c>
      <c r="I147" s="413">
        <v>45580</v>
      </c>
      <c r="J147" s="415">
        <v>136.33000000000001</v>
      </c>
      <c r="K147" s="412" t="s">
        <v>5</v>
      </c>
      <c r="L147" s="412" t="s">
        <v>347</v>
      </c>
      <c r="M147" s="412" t="s">
        <v>387</v>
      </c>
    </row>
    <row r="148" spans="1:13" x14ac:dyDescent="0.2">
      <c r="A148" s="412" t="s">
        <v>341</v>
      </c>
      <c r="B148" s="413">
        <v>45583</v>
      </c>
      <c r="C148" s="412" t="s">
        <v>626</v>
      </c>
      <c r="D148" s="412" t="s">
        <v>403</v>
      </c>
      <c r="E148" s="414" t="s">
        <v>404</v>
      </c>
      <c r="F148" s="414" t="s">
        <v>404</v>
      </c>
      <c r="G148" s="412" t="s">
        <v>345</v>
      </c>
      <c r="H148" s="412" t="s">
        <v>627</v>
      </c>
      <c r="I148" s="413">
        <v>45583</v>
      </c>
      <c r="J148" s="415">
        <v>931.7</v>
      </c>
      <c r="K148" s="412" t="s">
        <v>5</v>
      </c>
      <c r="L148" s="412" t="s">
        <v>347</v>
      </c>
      <c r="M148" s="412" t="s">
        <v>387</v>
      </c>
    </row>
    <row r="149" spans="1:13" x14ac:dyDescent="0.2">
      <c r="A149" s="412" t="s">
        <v>341</v>
      </c>
      <c r="B149" s="413">
        <v>45586</v>
      </c>
      <c r="C149" s="412" t="s">
        <v>628</v>
      </c>
      <c r="D149" s="412" t="s">
        <v>393</v>
      </c>
      <c r="E149" s="414" t="s">
        <v>394</v>
      </c>
      <c r="F149" s="414" t="s">
        <v>394</v>
      </c>
      <c r="G149" s="412" t="s">
        <v>345</v>
      </c>
      <c r="H149" s="412" t="s">
        <v>629</v>
      </c>
      <c r="I149" s="413">
        <v>45586</v>
      </c>
      <c r="J149" s="415">
        <v>24.74</v>
      </c>
      <c r="K149" s="412" t="s">
        <v>5</v>
      </c>
      <c r="L149" s="412" t="s">
        <v>347</v>
      </c>
      <c r="M149" s="412" t="s">
        <v>387</v>
      </c>
    </row>
    <row r="150" spans="1:13" x14ac:dyDescent="0.2">
      <c r="A150" s="412" t="s">
        <v>341</v>
      </c>
      <c r="B150" s="413">
        <v>45586</v>
      </c>
      <c r="C150" s="412" t="s">
        <v>630</v>
      </c>
      <c r="D150" s="412" t="s">
        <v>431</v>
      </c>
      <c r="E150" s="414" t="s">
        <v>631</v>
      </c>
      <c r="F150" s="414" t="s">
        <v>631</v>
      </c>
      <c r="G150" s="412" t="s">
        <v>345</v>
      </c>
      <c r="H150" s="412" t="s">
        <v>632</v>
      </c>
      <c r="I150" s="413">
        <v>45586</v>
      </c>
      <c r="J150" s="415">
        <v>943.49</v>
      </c>
      <c r="K150" s="412" t="s">
        <v>5</v>
      </c>
      <c r="L150" s="412" t="s">
        <v>347</v>
      </c>
      <c r="M150" s="412" t="s">
        <v>387</v>
      </c>
    </row>
    <row r="151" spans="1:13" x14ac:dyDescent="0.2">
      <c r="A151" s="412" t="s">
        <v>341</v>
      </c>
      <c r="B151" s="413">
        <v>45586</v>
      </c>
      <c r="C151" s="412" t="s">
        <v>633</v>
      </c>
      <c r="D151" s="412" t="s">
        <v>393</v>
      </c>
      <c r="E151" s="414" t="s">
        <v>394</v>
      </c>
      <c r="F151" s="414" t="s">
        <v>394</v>
      </c>
      <c r="G151" s="412" t="s">
        <v>345</v>
      </c>
      <c r="H151" s="412" t="s">
        <v>634</v>
      </c>
      <c r="I151" s="413">
        <v>45586</v>
      </c>
      <c r="J151" s="415">
        <v>24.74</v>
      </c>
      <c r="K151" s="412" t="s">
        <v>5</v>
      </c>
      <c r="L151" s="412" t="s">
        <v>347</v>
      </c>
      <c r="M151" s="412" t="s">
        <v>387</v>
      </c>
    </row>
    <row r="152" spans="1:13" x14ac:dyDescent="0.2">
      <c r="A152" s="412" t="s">
        <v>341</v>
      </c>
      <c r="B152" s="413">
        <v>45588</v>
      </c>
      <c r="C152" s="412" t="s">
        <v>635</v>
      </c>
      <c r="D152" s="412" t="s">
        <v>450</v>
      </c>
      <c r="E152" s="414" t="s">
        <v>636</v>
      </c>
      <c r="F152" s="414" t="s">
        <v>636</v>
      </c>
      <c r="G152" s="412" t="s">
        <v>345</v>
      </c>
      <c r="H152" s="412" t="s">
        <v>637</v>
      </c>
      <c r="I152" s="413">
        <v>45588</v>
      </c>
      <c r="J152" s="415">
        <v>251.68</v>
      </c>
      <c r="K152" s="412" t="s">
        <v>5</v>
      </c>
      <c r="L152" s="412" t="s">
        <v>347</v>
      </c>
      <c r="M152" s="412" t="s">
        <v>387</v>
      </c>
    </row>
    <row r="153" spans="1:13" x14ac:dyDescent="0.2">
      <c r="A153" s="412" t="s">
        <v>341</v>
      </c>
      <c r="B153" s="413">
        <v>45588</v>
      </c>
      <c r="C153" s="412" t="s">
        <v>638</v>
      </c>
      <c r="D153" s="412" t="s">
        <v>389</v>
      </c>
      <c r="E153" s="414" t="s">
        <v>513</v>
      </c>
      <c r="F153" s="414" t="s">
        <v>513</v>
      </c>
      <c r="G153" s="412" t="s">
        <v>345</v>
      </c>
      <c r="H153" s="412" t="s">
        <v>639</v>
      </c>
      <c r="I153" s="413">
        <v>45588</v>
      </c>
      <c r="J153" s="415">
        <v>80</v>
      </c>
      <c r="K153" s="412" t="s">
        <v>5</v>
      </c>
      <c r="L153" s="412" t="s">
        <v>347</v>
      </c>
      <c r="M153" s="412" t="s">
        <v>387</v>
      </c>
    </row>
    <row r="154" spans="1:13" x14ac:dyDescent="0.2">
      <c r="A154" s="412" t="s">
        <v>341</v>
      </c>
      <c r="B154" s="413">
        <v>45595</v>
      </c>
      <c r="C154" s="412" t="s">
        <v>640</v>
      </c>
      <c r="D154" s="412" t="s">
        <v>393</v>
      </c>
      <c r="E154" s="414" t="s">
        <v>394</v>
      </c>
      <c r="F154" s="414" t="s">
        <v>394</v>
      </c>
      <c r="G154" s="412" t="s">
        <v>345</v>
      </c>
      <c r="H154" s="412" t="s">
        <v>641</v>
      </c>
      <c r="I154" s="413">
        <v>45595</v>
      </c>
      <c r="J154" s="415">
        <v>24.74</v>
      </c>
      <c r="K154" s="412" t="s">
        <v>5</v>
      </c>
      <c r="L154" s="412" t="s">
        <v>347</v>
      </c>
      <c r="M154" s="412" t="s">
        <v>387</v>
      </c>
    </row>
    <row r="155" spans="1:13" x14ac:dyDescent="0.2">
      <c r="A155" s="412" t="s">
        <v>341</v>
      </c>
      <c r="B155" s="413">
        <v>45602</v>
      </c>
      <c r="C155" s="412" t="s">
        <v>642</v>
      </c>
      <c r="D155" s="412" t="s">
        <v>384</v>
      </c>
      <c r="E155" s="414" t="s">
        <v>643</v>
      </c>
      <c r="F155" s="414" t="s">
        <v>643</v>
      </c>
      <c r="G155" s="412" t="s">
        <v>345</v>
      </c>
      <c r="H155" s="412" t="s">
        <v>644</v>
      </c>
      <c r="I155" s="413">
        <v>45602</v>
      </c>
      <c r="J155" s="415">
        <v>104.43</v>
      </c>
      <c r="K155" s="412" t="s">
        <v>5</v>
      </c>
      <c r="L155" s="412" t="s">
        <v>347</v>
      </c>
      <c r="M155" s="412" t="s">
        <v>387</v>
      </c>
    </row>
    <row r="156" spans="1:13" x14ac:dyDescent="0.2">
      <c r="A156" s="412" t="s">
        <v>341</v>
      </c>
      <c r="B156" s="413">
        <v>45602</v>
      </c>
      <c r="C156" s="412" t="s">
        <v>645</v>
      </c>
      <c r="D156" s="412" t="s">
        <v>393</v>
      </c>
      <c r="E156" s="414" t="s">
        <v>394</v>
      </c>
      <c r="F156" s="414" t="s">
        <v>394</v>
      </c>
      <c r="G156" s="412" t="s">
        <v>345</v>
      </c>
      <c r="H156" s="412" t="s">
        <v>646</v>
      </c>
      <c r="I156" s="413">
        <v>45602</v>
      </c>
      <c r="J156" s="415">
        <v>24.74</v>
      </c>
      <c r="K156" s="412" t="s">
        <v>5</v>
      </c>
      <c r="L156" s="412" t="s">
        <v>347</v>
      </c>
      <c r="M156" s="412" t="s">
        <v>387</v>
      </c>
    </row>
    <row r="157" spans="1:13" x14ac:dyDescent="0.2">
      <c r="A157" s="412" t="s">
        <v>341</v>
      </c>
      <c r="B157" s="413">
        <v>45604</v>
      </c>
      <c r="C157" s="412" t="s">
        <v>647</v>
      </c>
      <c r="D157" s="412" t="s">
        <v>389</v>
      </c>
      <c r="E157" s="414" t="s">
        <v>513</v>
      </c>
      <c r="F157" s="414" t="s">
        <v>513</v>
      </c>
      <c r="G157" s="412" t="s">
        <v>345</v>
      </c>
      <c r="H157" s="412" t="s">
        <v>648</v>
      </c>
      <c r="I157" s="413">
        <v>45604</v>
      </c>
      <c r="J157" s="415">
        <v>80</v>
      </c>
      <c r="K157" s="412" t="s">
        <v>5</v>
      </c>
      <c r="L157" s="412" t="s">
        <v>347</v>
      </c>
      <c r="M157" s="412" t="s">
        <v>387</v>
      </c>
    </row>
    <row r="158" spans="1:13" x14ac:dyDescent="0.2">
      <c r="A158" s="412" t="s">
        <v>341</v>
      </c>
      <c r="B158" s="413">
        <v>45616</v>
      </c>
      <c r="C158" s="412" t="s">
        <v>649</v>
      </c>
      <c r="D158" s="412" t="s">
        <v>431</v>
      </c>
      <c r="E158" s="414" t="s">
        <v>650</v>
      </c>
      <c r="F158" s="414" t="s">
        <v>650</v>
      </c>
      <c r="G158" s="412" t="s">
        <v>345</v>
      </c>
      <c r="H158" s="412" t="s">
        <v>651</v>
      </c>
      <c r="I158" s="413">
        <v>45616</v>
      </c>
      <c r="J158" s="415">
        <v>412.84</v>
      </c>
      <c r="K158" s="412" t="s">
        <v>5</v>
      </c>
      <c r="L158" s="412" t="s">
        <v>347</v>
      </c>
      <c r="M158" s="412" t="s">
        <v>387</v>
      </c>
    </row>
    <row r="159" spans="1:13" x14ac:dyDescent="0.2">
      <c r="A159" s="412" t="s">
        <v>341</v>
      </c>
      <c r="B159" s="413">
        <v>45616</v>
      </c>
      <c r="C159" s="412" t="s">
        <v>652</v>
      </c>
      <c r="D159" s="412" t="s">
        <v>393</v>
      </c>
      <c r="E159" s="414" t="s">
        <v>394</v>
      </c>
      <c r="F159" s="414" t="s">
        <v>394</v>
      </c>
      <c r="G159" s="412" t="s">
        <v>345</v>
      </c>
      <c r="H159" s="412" t="s">
        <v>653</v>
      </c>
      <c r="I159" s="413">
        <v>45616</v>
      </c>
      <c r="J159" s="415">
        <v>24.74</v>
      </c>
      <c r="K159" s="412" t="s">
        <v>5</v>
      </c>
      <c r="L159" s="412" t="s">
        <v>347</v>
      </c>
      <c r="M159" s="412" t="s">
        <v>387</v>
      </c>
    </row>
    <row r="160" spans="1:13" x14ac:dyDescent="0.2">
      <c r="A160" s="412" t="s">
        <v>341</v>
      </c>
      <c r="B160" s="413">
        <v>45624</v>
      </c>
      <c r="C160" s="412" t="s">
        <v>654</v>
      </c>
      <c r="D160" s="412" t="s">
        <v>393</v>
      </c>
      <c r="E160" s="414" t="s">
        <v>394</v>
      </c>
      <c r="F160" s="414" t="s">
        <v>394</v>
      </c>
      <c r="G160" s="412" t="s">
        <v>345</v>
      </c>
      <c r="H160" s="412" t="s">
        <v>655</v>
      </c>
      <c r="I160" s="413">
        <v>45624</v>
      </c>
      <c r="J160" s="415">
        <v>24.74</v>
      </c>
      <c r="K160" s="412" t="s">
        <v>5</v>
      </c>
      <c r="L160" s="412" t="s">
        <v>347</v>
      </c>
      <c r="M160" s="412" t="s">
        <v>387</v>
      </c>
    </row>
    <row r="161" spans="1:13" x14ac:dyDescent="0.2">
      <c r="A161" s="412" t="s">
        <v>341</v>
      </c>
      <c r="B161" s="413">
        <v>45624</v>
      </c>
      <c r="C161" s="412" t="s">
        <v>656</v>
      </c>
      <c r="D161" s="412" t="s">
        <v>393</v>
      </c>
      <c r="E161" s="414" t="s">
        <v>394</v>
      </c>
      <c r="F161" s="414" t="s">
        <v>394</v>
      </c>
      <c r="G161" s="412" t="s">
        <v>345</v>
      </c>
      <c r="H161" s="412" t="s">
        <v>657</v>
      </c>
      <c r="I161" s="413">
        <v>45624</v>
      </c>
      <c r="J161" s="415">
        <v>24.74</v>
      </c>
      <c r="K161" s="412" t="s">
        <v>5</v>
      </c>
      <c r="L161" s="412" t="s">
        <v>347</v>
      </c>
      <c r="M161" s="412" t="s">
        <v>387</v>
      </c>
    </row>
    <row r="162" spans="1:13" x14ac:dyDescent="0.2">
      <c r="A162" s="412" t="s">
        <v>341</v>
      </c>
      <c r="B162" s="413">
        <v>45631</v>
      </c>
      <c r="C162" s="412" t="s">
        <v>658</v>
      </c>
      <c r="D162" s="412" t="s">
        <v>393</v>
      </c>
      <c r="E162" s="414" t="s">
        <v>394</v>
      </c>
      <c r="F162" s="414" t="s">
        <v>394</v>
      </c>
      <c r="G162" s="412" t="s">
        <v>345</v>
      </c>
      <c r="H162" s="412" t="s">
        <v>659</v>
      </c>
      <c r="I162" s="413">
        <v>45631</v>
      </c>
      <c r="J162" s="415">
        <v>24.74</v>
      </c>
      <c r="K162" s="412" t="s">
        <v>5</v>
      </c>
      <c r="L162" s="412" t="s">
        <v>347</v>
      </c>
      <c r="M162" s="412" t="s">
        <v>387</v>
      </c>
    </row>
    <row r="163" spans="1:13" x14ac:dyDescent="0.2">
      <c r="A163" s="412" t="s">
        <v>341</v>
      </c>
      <c r="B163" s="413">
        <v>45631</v>
      </c>
      <c r="C163" s="412" t="s">
        <v>660</v>
      </c>
      <c r="D163" s="412" t="s">
        <v>450</v>
      </c>
      <c r="E163" s="414" t="s">
        <v>451</v>
      </c>
      <c r="F163" s="414" t="s">
        <v>451</v>
      </c>
      <c r="G163" s="412" t="s">
        <v>345</v>
      </c>
      <c r="H163" s="412" t="s">
        <v>661</v>
      </c>
      <c r="I163" s="413">
        <v>45631</v>
      </c>
      <c r="J163" s="415">
        <v>235.95</v>
      </c>
      <c r="K163" s="412" t="s">
        <v>5</v>
      </c>
      <c r="L163" s="412" t="s">
        <v>347</v>
      </c>
      <c r="M163" s="412" t="s">
        <v>387</v>
      </c>
    </row>
    <row r="164" spans="1:13" x14ac:dyDescent="0.2">
      <c r="A164" s="412" t="s">
        <v>341</v>
      </c>
      <c r="B164" s="413">
        <v>45631</v>
      </c>
      <c r="C164" s="412" t="s">
        <v>662</v>
      </c>
      <c r="D164" s="412" t="s">
        <v>389</v>
      </c>
      <c r="E164" s="414" t="s">
        <v>513</v>
      </c>
      <c r="F164" s="414" t="s">
        <v>513</v>
      </c>
      <c r="G164" s="412" t="s">
        <v>345</v>
      </c>
      <c r="H164" s="412" t="s">
        <v>663</v>
      </c>
      <c r="I164" s="413">
        <v>45631</v>
      </c>
      <c r="J164" s="415">
        <v>80</v>
      </c>
      <c r="K164" s="412" t="s">
        <v>5</v>
      </c>
      <c r="L164" s="412" t="s">
        <v>347</v>
      </c>
      <c r="M164" s="412" t="s">
        <v>387</v>
      </c>
    </row>
    <row r="165" spans="1:13" x14ac:dyDescent="0.2">
      <c r="A165" s="412" t="s">
        <v>341</v>
      </c>
      <c r="B165" s="413">
        <v>45636</v>
      </c>
      <c r="C165" s="412" t="s">
        <v>664</v>
      </c>
      <c r="D165" s="412" t="s">
        <v>384</v>
      </c>
      <c r="E165" s="414" t="s">
        <v>665</v>
      </c>
      <c r="F165" s="414" t="s">
        <v>665</v>
      </c>
      <c r="G165" s="412" t="s">
        <v>345</v>
      </c>
      <c r="H165" s="412" t="s">
        <v>666</v>
      </c>
      <c r="I165" s="413">
        <v>45636</v>
      </c>
      <c r="J165" s="415">
        <v>28.5</v>
      </c>
      <c r="K165" s="412" t="s">
        <v>5</v>
      </c>
      <c r="L165" s="412" t="s">
        <v>347</v>
      </c>
      <c r="M165" s="412" t="s">
        <v>387</v>
      </c>
    </row>
    <row r="166" spans="1:13" x14ac:dyDescent="0.2">
      <c r="A166" s="412" t="s">
        <v>341</v>
      </c>
      <c r="B166" s="413">
        <v>45636</v>
      </c>
      <c r="C166" s="412" t="s">
        <v>664</v>
      </c>
      <c r="D166" s="412" t="s">
        <v>384</v>
      </c>
      <c r="E166" s="414" t="s">
        <v>665</v>
      </c>
      <c r="F166" s="414" t="s">
        <v>665</v>
      </c>
      <c r="G166" s="412" t="s">
        <v>345</v>
      </c>
      <c r="H166" s="412" t="s">
        <v>666</v>
      </c>
      <c r="I166" s="413">
        <v>45636</v>
      </c>
      <c r="J166" s="415">
        <v>146.96</v>
      </c>
      <c r="K166" s="412" t="s">
        <v>5</v>
      </c>
      <c r="L166" s="412" t="s">
        <v>347</v>
      </c>
      <c r="M166" s="412" t="s">
        <v>387</v>
      </c>
    </row>
    <row r="167" spans="1:13" x14ac:dyDescent="0.2">
      <c r="A167" s="412" t="s">
        <v>341</v>
      </c>
      <c r="B167" s="413">
        <v>45636</v>
      </c>
      <c r="C167" s="412" t="s">
        <v>664</v>
      </c>
      <c r="D167" s="412" t="s">
        <v>384</v>
      </c>
      <c r="E167" s="414" t="s">
        <v>665</v>
      </c>
      <c r="F167" s="414" t="s">
        <v>665</v>
      </c>
      <c r="G167" s="412" t="s">
        <v>345</v>
      </c>
      <c r="H167" s="412" t="s">
        <v>666</v>
      </c>
      <c r="I167" s="413">
        <v>45636</v>
      </c>
      <c r="J167" s="415">
        <v>30.24</v>
      </c>
      <c r="K167" s="412" t="s">
        <v>5</v>
      </c>
      <c r="L167" s="412" t="s">
        <v>347</v>
      </c>
      <c r="M167" s="412" t="s">
        <v>387</v>
      </c>
    </row>
    <row r="168" spans="1:13" x14ac:dyDescent="0.2">
      <c r="A168" s="412" t="s">
        <v>341</v>
      </c>
      <c r="B168" s="413">
        <v>45638</v>
      </c>
      <c r="C168" s="412" t="s">
        <v>667</v>
      </c>
      <c r="D168" s="412" t="s">
        <v>393</v>
      </c>
      <c r="E168" s="414" t="s">
        <v>394</v>
      </c>
      <c r="F168" s="414" t="s">
        <v>394</v>
      </c>
      <c r="G168" s="412" t="s">
        <v>345</v>
      </c>
      <c r="H168" s="412" t="s">
        <v>668</v>
      </c>
      <c r="I168" s="413">
        <v>45638</v>
      </c>
      <c r="J168" s="415">
        <v>24.74</v>
      </c>
      <c r="K168" s="412" t="s">
        <v>5</v>
      </c>
      <c r="L168" s="412" t="s">
        <v>347</v>
      </c>
      <c r="M168" s="412" t="s">
        <v>387</v>
      </c>
    </row>
    <row r="169" spans="1:13" x14ac:dyDescent="0.2">
      <c r="A169" s="412" t="s">
        <v>341</v>
      </c>
      <c r="B169" s="413">
        <v>45638</v>
      </c>
      <c r="C169" s="412" t="s">
        <v>669</v>
      </c>
      <c r="D169" s="412" t="s">
        <v>389</v>
      </c>
      <c r="E169" s="414" t="s">
        <v>513</v>
      </c>
      <c r="F169" s="414" t="s">
        <v>513</v>
      </c>
      <c r="G169" s="412" t="s">
        <v>345</v>
      </c>
      <c r="H169" s="412" t="s">
        <v>670</v>
      </c>
      <c r="I169" s="413">
        <v>45638</v>
      </c>
      <c r="J169" s="415">
        <v>80</v>
      </c>
      <c r="K169" s="412" t="s">
        <v>5</v>
      </c>
      <c r="L169" s="412" t="s">
        <v>347</v>
      </c>
      <c r="M169" s="412" t="s">
        <v>387</v>
      </c>
    </row>
    <row r="170" spans="1:13" x14ac:dyDescent="0.2">
      <c r="A170" s="412" t="s">
        <v>341</v>
      </c>
      <c r="B170" s="413">
        <v>45645</v>
      </c>
      <c r="C170" s="412" t="s">
        <v>671</v>
      </c>
      <c r="D170" s="412" t="s">
        <v>393</v>
      </c>
      <c r="E170" s="414" t="s">
        <v>394</v>
      </c>
      <c r="F170" s="414" t="s">
        <v>394</v>
      </c>
      <c r="G170" s="412" t="s">
        <v>345</v>
      </c>
      <c r="H170" s="412" t="s">
        <v>672</v>
      </c>
      <c r="I170" s="413">
        <v>45645</v>
      </c>
      <c r="J170" s="415">
        <v>24.74</v>
      </c>
      <c r="K170" s="412" t="s">
        <v>5</v>
      </c>
      <c r="L170" s="412" t="s">
        <v>347</v>
      </c>
      <c r="M170" s="412" t="s">
        <v>387</v>
      </c>
    </row>
    <row r="171" spans="1:13" x14ac:dyDescent="0.2">
      <c r="A171" s="412" t="s">
        <v>341</v>
      </c>
      <c r="B171" s="413">
        <v>45645</v>
      </c>
      <c r="C171" s="412" t="s">
        <v>673</v>
      </c>
      <c r="D171" s="412" t="s">
        <v>431</v>
      </c>
      <c r="E171" s="414" t="s">
        <v>674</v>
      </c>
      <c r="F171" s="414" t="s">
        <v>674</v>
      </c>
      <c r="G171" s="412" t="s">
        <v>345</v>
      </c>
      <c r="H171" s="412" t="s">
        <v>675</v>
      </c>
      <c r="I171" s="413">
        <v>45645</v>
      </c>
      <c r="J171" s="415">
        <v>1268.72</v>
      </c>
      <c r="K171" s="412" t="s">
        <v>5</v>
      </c>
      <c r="L171" s="412" t="s">
        <v>347</v>
      </c>
      <c r="M171" s="412" t="s">
        <v>387</v>
      </c>
    </row>
    <row r="172" spans="1:13" x14ac:dyDescent="0.2">
      <c r="A172" s="412" t="s">
        <v>341</v>
      </c>
      <c r="B172" s="413">
        <v>45645</v>
      </c>
      <c r="C172" s="412" t="s">
        <v>676</v>
      </c>
      <c r="D172" s="412" t="s">
        <v>450</v>
      </c>
      <c r="E172" s="414" t="s">
        <v>677</v>
      </c>
      <c r="F172" s="414" t="s">
        <v>677</v>
      </c>
      <c r="G172" s="412" t="s">
        <v>345</v>
      </c>
      <c r="H172" s="412" t="s">
        <v>678</v>
      </c>
      <c r="I172" s="413">
        <v>45645</v>
      </c>
      <c r="J172" s="415">
        <v>471.9</v>
      </c>
      <c r="K172" s="412" t="s">
        <v>5</v>
      </c>
      <c r="L172" s="412" t="s">
        <v>347</v>
      </c>
      <c r="M172" s="412" t="s">
        <v>387</v>
      </c>
    </row>
    <row r="173" spans="1:13" x14ac:dyDescent="0.2">
      <c r="A173" s="412" t="s">
        <v>341</v>
      </c>
      <c r="B173" s="413">
        <v>45653</v>
      </c>
      <c r="C173" s="412" t="s">
        <v>679</v>
      </c>
      <c r="D173" s="412" t="s">
        <v>431</v>
      </c>
      <c r="E173" s="414" t="s">
        <v>680</v>
      </c>
      <c r="F173" s="414" t="s">
        <v>680</v>
      </c>
      <c r="G173" s="412" t="s">
        <v>345</v>
      </c>
      <c r="H173" s="412" t="s">
        <v>681</v>
      </c>
      <c r="I173" s="413">
        <v>45653</v>
      </c>
      <c r="J173" s="415">
        <v>106.96</v>
      </c>
      <c r="K173" s="412" t="s">
        <v>5</v>
      </c>
      <c r="L173" s="412" t="s">
        <v>347</v>
      </c>
      <c r="M173" s="412" t="s">
        <v>387</v>
      </c>
    </row>
    <row r="174" spans="1:13" x14ac:dyDescent="0.2">
      <c r="A174" s="412" t="s">
        <v>341</v>
      </c>
      <c r="B174" s="413">
        <v>45653</v>
      </c>
      <c r="C174" s="412" t="s">
        <v>682</v>
      </c>
      <c r="D174" s="412" t="s">
        <v>431</v>
      </c>
      <c r="E174" s="414" t="s">
        <v>683</v>
      </c>
      <c r="F174" s="414" t="s">
        <v>683</v>
      </c>
      <c r="G174" s="412" t="s">
        <v>345</v>
      </c>
      <c r="H174" s="412" t="s">
        <v>684</v>
      </c>
      <c r="I174" s="413">
        <v>45653</v>
      </c>
      <c r="J174" s="415">
        <v>244.14</v>
      </c>
      <c r="K174" s="412" t="s">
        <v>5</v>
      </c>
      <c r="L174" s="412" t="s">
        <v>347</v>
      </c>
      <c r="M174" s="412" t="s">
        <v>387</v>
      </c>
    </row>
    <row r="175" spans="1:13" x14ac:dyDescent="0.2">
      <c r="A175" s="412" t="s">
        <v>341</v>
      </c>
      <c r="B175" s="413">
        <v>45653</v>
      </c>
      <c r="C175" s="412" t="s">
        <v>685</v>
      </c>
      <c r="D175" s="412" t="s">
        <v>389</v>
      </c>
      <c r="E175" s="414" t="s">
        <v>513</v>
      </c>
      <c r="F175" s="414" t="s">
        <v>513</v>
      </c>
      <c r="G175" s="412" t="s">
        <v>345</v>
      </c>
      <c r="H175" s="412" t="s">
        <v>686</v>
      </c>
      <c r="I175" s="413">
        <v>45653</v>
      </c>
      <c r="J175" s="415">
        <v>80</v>
      </c>
      <c r="K175" s="412" t="s">
        <v>5</v>
      </c>
      <c r="L175" s="412" t="s">
        <v>347</v>
      </c>
      <c r="M175" s="412" t="s">
        <v>387</v>
      </c>
    </row>
    <row r="176" spans="1:13" x14ac:dyDescent="0.2">
      <c r="A176" s="412" t="s">
        <v>341</v>
      </c>
      <c r="B176" s="413">
        <v>45653</v>
      </c>
      <c r="C176" s="412" t="s">
        <v>687</v>
      </c>
      <c r="D176" s="412" t="s">
        <v>502</v>
      </c>
      <c r="E176" s="414" t="s">
        <v>503</v>
      </c>
      <c r="F176" s="414" t="s">
        <v>503</v>
      </c>
      <c r="G176" s="412" t="s">
        <v>345</v>
      </c>
      <c r="H176" s="412" t="s">
        <v>688</v>
      </c>
      <c r="I176" s="413">
        <v>45653</v>
      </c>
      <c r="J176" s="415">
        <v>435.6</v>
      </c>
      <c r="K176" s="412" t="s">
        <v>5</v>
      </c>
      <c r="L176" s="412" t="s">
        <v>347</v>
      </c>
      <c r="M176" s="412" t="s">
        <v>387</v>
      </c>
    </row>
    <row r="177" spans="1:13" x14ac:dyDescent="0.2">
      <c r="A177" s="412" t="s">
        <v>341</v>
      </c>
      <c r="B177" s="413">
        <v>45654</v>
      </c>
      <c r="C177" s="412" t="s">
        <v>689</v>
      </c>
      <c r="D177" s="412" t="s">
        <v>384</v>
      </c>
      <c r="E177" s="414" t="s">
        <v>690</v>
      </c>
      <c r="F177" s="414" t="s">
        <v>690</v>
      </c>
      <c r="G177" s="412" t="s">
        <v>345</v>
      </c>
      <c r="H177" s="412" t="s">
        <v>691</v>
      </c>
      <c r="I177" s="413">
        <v>45654</v>
      </c>
      <c r="J177" s="415">
        <v>37.99</v>
      </c>
      <c r="K177" s="412" t="s">
        <v>5</v>
      </c>
      <c r="L177" s="412" t="s">
        <v>347</v>
      </c>
      <c r="M177" s="412" t="s">
        <v>387</v>
      </c>
    </row>
    <row r="178" spans="1:13" x14ac:dyDescent="0.2">
      <c r="A178" s="412" t="s">
        <v>341</v>
      </c>
      <c r="B178" s="413">
        <v>45654</v>
      </c>
      <c r="C178" s="412" t="s">
        <v>689</v>
      </c>
      <c r="D178" s="412" t="s">
        <v>384</v>
      </c>
      <c r="E178" s="414" t="s">
        <v>690</v>
      </c>
      <c r="F178" s="414" t="s">
        <v>690</v>
      </c>
      <c r="G178" s="412" t="s">
        <v>345</v>
      </c>
      <c r="H178" s="412" t="s">
        <v>691</v>
      </c>
      <c r="I178" s="413">
        <v>45654</v>
      </c>
      <c r="J178" s="415">
        <v>147.16999999999999</v>
      </c>
      <c r="K178" s="412" t="s">
        <v>5</v>
      </c>
      <c r="L178" s="412" t="s">
        <v>347</v>
      </c>
      <c r="M178" s="412" t="s">
        <v>387</v>
      </c>
    </row>
    <row r="179" spans="1:13" x14ac:dyDescent="0.2">
      <c r="A179" s="412" t="s">
        <v>341</v>
      </c>
      <c r="B179" s="413">
        <v>45654</v>
      </c>
      <c r="C179" s="412" t="s">
        <v>689</v>
      </c>
      <c r="D179" s="412" t="s">
        <v>384</v>
      </c>
      <c r="E179" s="414" t="s">
        <v>690</v>
      </c>
      <c r="F179" s="414" t="s">
        <v>690</v>
      </c>
      <c r="G179" s="412" t="s">
        <v>345</v>
      </c>
      <c r="H179" s="412" t="s">
        <v>691</v>
      </c>
      <c r="I179" s="413">
        <v>45654</v>
      </c>
      <c r="J179" s="415">
        <v>25.76</v>
      </c>
      <c r="K179" s="412" t="s">
        <v>5</v>
      </c>
      <c r="L179" s="412" t="s">
        <v>347</v>
      </c>
      <c r="M179" s="412" t="s">
        <v>387</v>
      </c>
    </row>
    <row r="180" spans="1:13" ht="13.5" thickBot="1" x14ac:dyDescent="0.25">
      <c r="A180" s="412" t="s">
        <v>341</v>
      </c>
      <c r="B180" s="413">
        <v>45654</v>
      </c>
      <c r="C180" s="412" t="s">
        <v>692</v>
      </c>
      <c r="D180" s="412" t="s">
        <v>393</v>
      </c>
      <c r="E180" s="414" t="s">
        <v>693</v>
      </c>
      <c r="F180" s="414" t="s">
        <v>693</v>
      </c>
      <c r="G180" s="412" t="s">
        <v>345</v>
      </c>
      <c r="H180" s="412" t="s">
        <v>694</v>
      </c>
      <c r="I180" s="413">
        <v>45654</v>
      </c>
      <c r="J180" s="415">
        <v>19.72</v>
      </c>
      <c r="K180" s="412" t="s">
        <v>5</v>
      </c>
      <c r="L180" s="412" t="s">
        <v>347</v>
      </c>
      <c r="M180" s="412" t="s">
        <v>387</v>
      </c>
    </row>
    <row r="181" spans="1:13" ht="13.5" thickBot="1" x14ac:dyDescent="0.25">
      <c r="J181" s="416">
        <f>SUM(J45:J180)</f>
        <v>55630.16999999994</v>
      </c>
    </row>
    <row r="183" spans="1:13" x14ac:dyDescent="0.2">
      <c r="A183" s="412" t="s">
        <v>341</v>
      </c>
      <c r="B183" s="413">
        <v>45303</v>
      </c>
      <c r="C183" s="412" t="s">
        <v>695</v>
      </c>
      <c r="D183" s="412" t="s">
        <v>696</v>
      </c>
      <c r="E183" s="414" t="s">
        <v>697</v>
      </c>
      <c r="F183" s="414" t="s">
        <v>697</v>
      </c>
      <c r="G183" s="412" t="s">
        <v>345</v>
      </c>
      <c r="H183" s="412" t="s">
        <v>698</v>
      </c>
      <c r="I183" s="413">
        <v>45303</v>
      </c>
      <c r="J183" s="415">
        <v>436.33</v>
      </c>
      <c r="K183" s="412" t="s">
        <v>5</v>
      </c>
      <c r="L183" s="412" t="s">
        <v>347</v>
      </c>
      <c r="M183" s="412" t="s">
        <v>699</v>
      </c>
    </row>
    <row r="184" spans="1:13" x14ac:dyDescent="0.2">
      <c r="A184" s="412" t="s">
        <v>341</v>
      </c>
      <c r="B184" s="413">
        <v>45355</v>
      </c>
      <c r="C184" s="412" t="s">
        <v>700</v>
      </c>
      <c r="D184" s="412" t="s">
        <v>696</v>
      </c>
      <c r="E184" s="414" t="s">
        <v>701</v>
      </c>
      <c r="F184" s="414" t="s">
        <v>701</v>
      </c>
      <c r="G184" s="412" t="s">
        <v>345</v>
      </c>
      <c r="H184" s="412" t="s">
        <v>702</v>
      </c>
      <c r="I184" s="413">
        <v>45355</v>
      </c>
      <c r="J184" s="415">
        <v>332.51</v>
      </c>
      <c r="K184" s="412" t="s">
        <v>5</v>
      </c>
      <c r="L184" s="412" t="s">
        <v>347</v>
      </c>
      <c r="M184" s="412" t="s">
        <v>699</v>
      </c>
    </row>
    <row r="185" spans="1:13" x14ac:dyDescent="0.2">
      <c r="A185" s="412" t="s">
        <v>341</v>
      </c>
      <c r="B185" s="413">
        <v>45390</v>
      </c>
      <c r="C185" s="412" t="s">
        <v>703</v>
      </c>
      <c r="D185" s="412" t="s">
        <v>696</v>
      </c>
      <c r="E185" s="414" t="s">
        <v>704</v>
      </c>
      <c r="F185" s="414" t="s">
        <v>704</v>
      </c>
      <c r="G185" s="412" t="s">
        <v>345</v>
      </c>
      <c r="H185" s="412" t="s">
        <v>705</v>
      </c>
      <c r="I185" s="413">
        <v>45390</v>
      </c>
      <c r="J185" s="415">
        <v>253.8</v>
      </c>
      <c r="K185" s="412" t="s">
        <v>5</v>
      </c>
      <c r="L185" s="412" t="s">
        <v>347</v>
      </c>
      <c r="M185" s="412" t="s">
        <v>699</v>
      </c>
    </row>
    <row r="186" spans="1:13" x14ac:dyDescent="0.2">
      <c r="A186" s="412" t="s">
        <v>341</v>
      </c>
      <c r="B186" s="413">
        <v>45427</v>
      </c>
      <c r="C186" s="412" t="s">
        <v>706</v>
      </c>
      <c r="D186" s="412" t="s">
        <v>696</v>
      </c>
      <c r="E186" s="414" t="s">
        <v>707</v>
      </c>
      <c r="F186" s="414" t="s">
        <v>707</v>
      </c>
      <c r="G186" s="412" t="s">
        <v>345</v>
      </c>
      <c r="H186" s="412" t="s">
        <v>708</v>
      </c>
      <c r="I186" s="413">
        <v>45427</v>
      </c>
      <c r="J186" s="415">
        <v>465.1</v>
      </c>
      <c r="K186" s="412" t="s">
        <v>5</v>
      </c>
      <c r="L186" s="412" t="s">
        <v>347</v>
      </c>
      <c r="M186" s="412" t="s">
        <v>699</v>
      </c>
    </row>
    <row r="187" spans="1:13" x14ac:dyDescent="0.2">
      <c r="A187" s="412" t="s">
        <v>341</v>
      </c>
      <c r="B187" s="413">
        <v>45427</v>
      </c>
      <c r="C187" s="412" t="s">
        <v>709</v>
      </c>
      <c r="D187" s="412" t="s">
        <v>696</v>
      </c>
      <c r="E187" s="414" t="s">
        <v>710</v>
      </c>
      <c r="F187" s="414" t="s">
        <v>710</v>
      </c>
      <c r="G187" s="412" t="s">
        <v>345</v>
      </c>
      <c r="H187" s="412" t="s">
        <v>711</v>
      </c>
      <c r="I187" s="413">
        <v>45427</v>
      </c>
      <c r="J187" s="415">
        <v>251</v>
      </c>
      <c r="K187" s="412" t="s">
        <v>5</v>
      </c>
      <c r="L187" s="412" t="s">
        <v>347</v>
      </c>
      <c r="M187" s="412" t="s">
        <v>699</v>
      </c>
    </row>
    <row r="188" spans="1:13" x14ac:dyDescent="0.2">
      <c r="A188" s="412" t="s">
        <v>341</v>
      </c>
      <c r="B188" s="413">
        <v>45464</v>
      </c>
      <c r="C188" s="412" t="s">
        <v>712</v>
      </c>
      <c r="D188" s="412" t="s">
        <v>696</v>
      </c>
      <c r="E188" s="414" t="s">
        <v>713</v>
      </c>
      <c r="F188" s="414" t="s">
        <v>713</v>
      </c>
      <c r="G188" s="412" t="s">
        <v>345</v>
      </c>
      <c r="H188" s="412" t="s">
        <v>714</v>
      </c>
      <c r="I188" s="413">
        <v>45464</v>
      </c>
      <c r="J188" s="415">
        <v>502.1</v>
      </c>
      <c r="K188" s="412" t="s">
        <v>5</v>
      </c>
      <c r="L188" s="412" t="s">
        <v>347</v>
      </c>
      <c r="M188" s="412" t="s">
        <v>699</v>
      </c>
    </row>
    <row r="189" spans="1:13" x14ac:dyDescent="0.2">
      <c r="A189" s="412" t="s">
        <v>341</v>
      </c>
      <c r="B189" s="413">
        <v>45505</v>
      </c>
      <c r="C189" s="412" t="s">
        <v>715</v>
      </c>
      <c r="D189" s="412" t="s">
        <v>696</v>
      </c>
      <c r="E189" s="414" t="s">
        <v>716</v>
      </c>
      <c r="F189" s="414" t="s">
        <v>716</v>
      </c>
      <c r="G189" s="412" t="s">
        <v>345</v>
      </c>
      <c r="H189" s="412" t="s">
        <v>717</v>
      </c>
      <c r="I189" s="413">
        <v>45505</v>
      </c>
      <c r="J189" s="415">
        <v>405.2</v>
      </c>
      <c r="K189" s="412" t="s">
        <v>5</v>
      </c>
      <c r="L189" s="412" t="s">
        <v>347</v>
      </c>
      <c r="M189" s="412" t="s">
        <v>699</v>
      </c>
    </row>
    <row r="190" spans="1:13" x14ac:dyDescent="0.2">
      <c r="A190" s="412" t="s">
        <v>341</v>
      </c>
      <c r="B190" s="413">
        <v>45539</v>
      </c>
      <c r="C190" s="412" t="s">
        <v>718</v>
      </c>
      <c r="D190" s="412" t="s">
        <v>696</v>
      </c>
      <c r="E190" s="414" t="s">
        <v>719</v>
      </c>
      <c r="F190" s="414" t="s">
        <v>719</v>
      </c>
      <c r="G190" s="412" t="s">
        <v>345</v>
      </c>
      <c r="H190" s="412" t="s">
        <v>720</v>
      </c>
      <c r="I190" s="413">
        <v>45539</v>
      </c>
      <c r="J190" s="415">
        <v>428.1</v>
      </c>
      <c r="K190" s="412" t="s">
        <v>5</v>
      </c>
      <c r="L190" s="412" t="s">
        <v>347</v>
      </c>
      <c r="M190" s="412" t="s">
        <v>699</v>
      </c>
    </row>
    <row r="191" spans="1:13" x14ac:dyDescent="0.2">
      <c r="A191" s="412" t="s">
        <v>341</v>
      </c>
      <c r="B191" s="413">
        <v>45567</v>
      </c>
      <c r="C191" s="412" t="s">
        <v>721</v>
      </c>
      <c r="D191" s="412" t="s">
        <v>696</v>
      </c>
      <c r="E191" s="414" t="s">
        <v>722</v>
      </c>
      <c r="F191" s="414" t="s">
        <v>722</v>
      </c>
      <c r="G191" s="412" t="s">
        <v>345</v>
      </c>
      <c r="H191" s="412" t="s">
        <v>723</v>
      </c>
      <c r="I191" s="413">
        <v>45567</v>
      </c>
      <c r="J191" s="415">
        <v>428.1</v>
      </c>
      <c r="K191" s="412" t="s">
        <v>5</v>
      </c>
      <c r="L191" s="412" t="s">
        <v>347</v>
      </c>
      <c r="M191" s="412" t="s">
        <v>699</v>
      </c>
    </row>
    <row r="192" spans="1:13" x14ac:dyDescent="0.2">
      <c r="A192" s="412" t="s">
        <v>341</v>
      </c>
      <c r="B192" s="413">
        <v>45595</v>
      </c>
      <c r="C192" s="412" t="s">
        <v>724</v>
      </c>
      <c r="D192" s="412" t="s">
        <v>696</v>
      </c>
      <c r="E192" s="414" t="s">
        <v>725</v>
      </c>
      <c r="F192" s="414" t="s">
        <v>725</v>
      </c>
      <c r="G192" s="412" t="s">
        <v>345</v>
      </c>
      <c r="H192" s="412" t="s">
        <v>726</v>
      </c>
      <c r="I192" s="413">
        <v>45595</v>
      </c>
      <c r="J192" s="415">
        <v>428.1</v>
      </c>
      <c r="K192" s="412" t="s">
        <v>5</v>
      </c>
      <c r="L192" s="412" t="s">
        <v>347</v>
      </c>
      <c r="M192" s="412" t="s">
        <v>699</v>
      </c>
    </row>
    <row r="193" spans="1:13" x14ac:dyDescent="0.2">
      <c r="A193" s="412" t="s">
        <v>341</v>
      </c>
      <c r="B193" s="413">
        <v>45640</v>
      </c>
      <c r="C193" s="412" t="s">
        <v>727</v>
      </c>
      <c r="D193" s="412" t="s">
        <v>696</v>
      </c>
      <c r="E193" s="414" t="s">
        <v>728</v>
      </c>
      <c r="F193" s="414" t="s">
        <v>728</v>
      </c>
      <c r="G193" s="412" t="s">
        <v>345</v>
      </c>
      <c r="H193" s="412" t="s">
        <v>729</v>
      </c>
      <c r="I193" s="413">
        <v>45642</v>
      </c>
      <c r="J193" s="415">
        <v>345</v>
      </c>
      <c r="K193" s="412" t="s">
        <v>5</v>
      </c>
      <c r="L193" s="412" t="s">
        <v>347</v>
      </c>
      <c r="M193" s="412" t="s">
        <v>699</v>
      </c>
    </row>
    <row r="194" spans="1:13" ht="13.5" thickBot="1" x14ac:dyDescent="0.25">
      <c r="A194" s="412" t="s">
        <v>341</v>
      </c>
      <c r="B194" s="413">
        <v>45640</v>
      </c>
      <c r="C194" s="412" t="s">
        <v>730</v>
      </c>
      <c r="D194" s="412" t="s">
        <v>696</v>
      </c>
      <c r="E194" s="414" t="s">
        <v>731</v>
      </c>
      <c r="F194" s="414" t="s">
        <v>731</v>
      </c>
      <c r="G194" s="412" t="s">
        <v>345</v>
      </c>
      <c r="H194" s="412" t="s">
        <v>732</v>
      </c>
      <c r="I194" s="413">
        <v>45642</v>
      </c>
      <c r="J194" s="415">
        <v>391.1</v>
      </c>
      <c r="K194" s="412" t="s">
        <v>5</v>
      </c>
      <c r="L194" s="412" t="s">
        <v>347</v>
      </c>
      <c r="M194" s="412" t="s">
        <v>699</v>
      </c>
    </row>
    <row r="195" spans="1:13" ht="13.5" thickBot="1" x14ac:dyDescent="0.25">
      <c r="J195" s="416">
        <f>SUM(J183:J194)</f>
        <v>4666.4399999999996</v>
      </c>
    </row>
    <row r="197" spans="1:13" x14ac:dyDescent="0.2">
      <c r="A197" s="412" t="s">
        <v>341</v>
      </c>
      <c r="B197" s="413">
        <v>45303</v>
      </c>
      <c r="C197" s="412" t="s">
        <v>695</v>
      </c>
      <c r="D197" s="412" t="s">
        <v>696</v>
      </c>
      <c r="E197" s="414" t="s">
        <v>697</v>
      </c>
      <c r="F197" s="414" t="s">
        <v>697</v>
      </c>
      <c r="G197" s="412" t="s">
        <v>345</v>
      </c>
      <c r="H197" s="412" t="s">
        <v>698</v>
      </c>
      <c r="I197" s="413">
        <v>45303</v>
      </c>
      <c r="J197" s="415">
        <v>176.17</v>
      </c>
      <c r="K197" s="412" t="s">
        <v>5</v>
      </c>
      <c r="L197" s="412" t="s">
        <v>347</v>
      </c>
      <c r="M197" s="412" t="s">
        <v>733</v>
      </c>
    </row>
    <row r="198" spans="1:13" x14ac:dyDescent="0.2">
      <c r="A198" s="412" t="s">
        <v>341</v>
      </c>
      <c r="B198" s="413">
        <v>45355</v>
      </c>
      <c r="C198" s="412" t="s">
        <v>700</v>
      </c>
      <c r="D198" s="412" t="s">
        <v>696</v>
      </c>
      <c r="E198" s="414" t="s">
        <v>701</v>
      </c>
      <c r="F198" s="414" t="s">
        <v>701</v>
      </c>
      <c r="G198" s="412" t="s">
        <v>345</v>
      </c>
      <c r="H198" s="412" t="s">
        <v>702</v>
      </c>
      <c r="I198" s="413">
        <v>45355</v>
      </c>
      <c r="J198" s="415">
        <v>135.52000000000001</v>
      </c>
      <c r="K198" s="412" t="s">
        <v>5</v>
      </c>
      <c r="L198" s="412" t="s">
        <v>347</v>
      </c>
      <c r="M198" s="412" t="s">
        <v>733</v>
      </c>
    </row>
    <row r="199" spans="1:13" x14ac:dyDescent="0.2">
      <c r="A199" s="412" t="s">
        <v>341</v>
      </c>
      <c r="B199" s="413">
        <v>45390</v>
      </c>
      <c r="C199" s="412" t="s">
        <v>703</v>
      </c>
      <c r="D199" s="412" t="s">
        <v>696</v>
      </c>
      <c r="E199" s="414" t="s">
        <v>704</v>
      </c>
      <c r="F199" s="414" t="s">
        <v>704</v>
      </c>
      <c r="G199" s="412" t="s">
        <v>345</v>
      </c>
      <c r="H199" s="412" t="s">
        <v>705</v>
      </c>
      <c r="I199" s="413">
        <v>45390</v>
      </c>
      <c r="J199" s="415">
        <v>156.80000000000001</v>
      </c>
      <c r="K199" s="412" t="s">
        <v>5</v>
      </c>
      <c r="L199" s="412" t="s">
        <v>347</v>
      </c>
      <c r="M199" s="412" t="s">
        <v>733</v>
      </c>
    </row>
    <row r="200" spans="1:13" x14ac:dyDescent="0.2">
      <c r="A200" s="412" t="s">
        <v>341</v>
      </c>
      <c r="B200" s="413">
        <v>45427</v>
      </c>
      <c r="C200" s="412" t="s">
        <v>706</v>
      </c>
      <c r="D200" s="412" t="s">
        <v>696</v>
      </c>
      <c r="E200" s="414" t="s">
        <v>707</v>
      </c>
      <c r="F200" s="414" t="s">
        <v>707</v>
      </c>
      <c r="G200" s="412" t="s">
        <v>345</v>
      </c>
      <c r="H200" s="412" t="s">
        <v>708</v>
      </c>
      <c r="I200" s="413">
        <v>45427</v>
      </c>
      <c r="J200" s="415">
        <v>851.2</v>
      </c>
      <c r="K200" s="412" t="s">
        <v>5</v>
      </c>
      <c r="L200" s="412" t="s">
        <v>347</v>
      </c>
      <c r="M200" s="412" t="s">
        <v>733</v>
      </c>
    </row>
    <row r="201" spans="1:13" x14ac:dyDescent="0.2">
      <c r="A201" s="412" t="s">
        <v>341</v>
      </c>
      <c r="B201" s="413">
        <v>45427</v>
      </c>
      <c r="C201" s="412" t="s">
        <v>709</v>
      </c>
      <c r="D201" s="412" t="s">
        <v>696</v>
      </c>
      <c r="E201" s="414" t="s">
        <v>710</v>
      </c>
      <c r="F201" s="414" t="s">
        <v>710</v>
      </c>
      <c r="G201" s="412" t="s">
        <v>345</v>
      </c>
      <c r="H201" s="412" t="s">
        <v>711</v>
      </c>
      <c r="I201" s="413">
        <v>45427</v>
      </c>
      <c r="J201" s="415">
        <v>459.2</v>
      </c>
      <c r="K201" s="412" t="s">
        <v>5</v>
      </c>
      <c r="L201" s="412" t="s">
        <v>347</v>
      </c>
      <c r="M201" s="412" t="s">
        <v>733</v>
      </c>
    </row>
    <row r="202" spans="1:13" x14ac:dyDescent="0.2">
      <c r="A202" s="412" t="s">
        <v>341</v>
      </c>
      <c r="B202" s="413">
        <v>45464</v>
      </c>
      <c r="C202" s="412" t="s">
        <v>712</v>
      </c>
      <c r="D202" s="412" t="s">
        <v>696</v>
      </c>
      <c r="E202" s="414" t="s">
        <v>713</v>
      </c>
      <c r="F202" s="414" t="s">
        <v>713</v>
      </c>
      <c r="G202" s="412" t="s">
        <v>345</v>
      </c>
      <c r="H202" s="412" t="s">
        <v>714</v>
      </c>
      <c r="I202" s="413">
        <v>45464</v>
      </c>
      <c r="J202" s="415">
        <v>929.6</v>
      </c>
      <c r="K202" s="412" t="s">
        <v>5</v>
      </c>
      <c r="L202" s="412" t="s">
        <v>347</v>
      </c>
      <c r="M202" s="412" t="s">
        <v>733</v>
      </c>
    </row>
    <row r="203" spans="1:13" x14ac:dyDescent="0.2">
      <c r="A203" s="412" t="s">
        <v>341</v>
      </c>
      <c r="B203" s="413">
        <v>45505</v>
      </c>
      <c r="C203" s="412" t="s">
        <v>715</v>
      </c>
      <c r="D203" s="412" t="s">
        <v>696</v>
      </c>
      <c r="E203" s="414" t="s">
        <v>716</v>
      </c>
      <c r="F203" s="414" t="s">
        <v>716</v>
      </c>
      <c r="G203" s="412" t="s">
        <v>345</v>
      </c>
      <c r="H203" s="412" t="s">
        <v>717</v>
      </c>
      <c r="I203" s="413">
        <v>45505</v>
      </c>
      <c r="J203" s="415">
        <v>526.4</v>
      </c>
      <c r="K203" s="412" t="s">
        <v>5</v>
      </c>
      <c r="L203" s="412" t="s">
        <v>347</v>
      </c>
      <c r="M203" s="412" t="s">
        <v>733</v>
      </c>
    </row>
    <row r="204" spans="1:13" x14ac:dyDescent="0.2">
      <c r="A204" s="412" t="s">
        <v>341</v>
      </c>
      <c r="B204" s="413">
        <v>45539</v>
      </c>
      <c r="C204" s="412" t="s">
        <v>718</v>
      </c>
      <c r="D204" s="412" t="s">
        <v>696</v>
      </c>
      <c r="E204" s="414" t="s">
        <v>719</v>
      </c>
      <c r="F204" s="414" t="s">
        <v>719</v>
      </c>
      <c r="G204" s="412" t="s">
        <v>345</v>
      </c>
      <c r="H204" s="412" t="s">
        <v>720</v>
      </c>
      <c r="I204" s="413">
        <v>45539</v>
      </c>
      <c r="J204" s="415">
        <v>683.2</v>
      </c>
      <c r="K204" s="412" t="s">
        <v>5</v>
      </c>
      <c r="L204" s="412" t="s">
        <v>347</v>
      </c>
      <c r="M204" s="412" t="s">
        <v>733</v>
      </c>
    </row>
    <row r="205" spans="1:13" x14ac:dyDescent="0.2">
      <c r="A205" s="412" t="s">
        <v>341</v>
      </c>
      <c r="B205" s="413">
        <v>45567</v>
      </c>
      <c r="C205" s="412" t="s">
        <v>721</v>
      </c>
      <c r="D205" s="412" t="s">
        <v>696</v>
      </c>
      <c r="E205" s="414" t="s">
        <v>722</v>
      </c>
      <c r="F205" s="414" t="s">
        <v>722</v>
      </c>
      <c r="G205" s="412" t="s">
        <v>345</v>
      </c>
      <c r="H205" s="412" t="s">
        <v>723</v>
      </c>
      <c r="I205" s="413">
        <v>45567</v>
      </c>
      <c r="J205" s="415">
        <v>414.4</v>
      </c>
      <c r="K205" s="412" t="s">
        <v>5</v>
      </c>
      <c r="L205" s="412" t="s">
        <v>347</v>
      </c>
      <c r="M205" s="412" t="s">
        <v>733</v>
      </c>
    </row>
    <row r="206" spans="1:13" x14ac:dyDescent="0.2">
      <c r="A206" s="412" t="s">
        <v>341</v>
      </c>
      <c r="B206" s="413">
        <v>45595</v>
      </c>
      <c r="C206" s="412" t="s">
        <v>724</v>
      </c>
      <c r="D206" s="412" t="s">
        <v>696</v>
      </c>
      <c r="E206" s="414" t="s">
        <v>725</v>
      </c>
      <c r="F206" s="414" t="s">
        <v>725</v>
      </c>
      <c r="G206" s="412" t="s">
        <v>345</v>
      </c>
      <c r="H206" s="412" t="s">
        <v>726</v>
      </c>
      <c r="I206" s="413">
        <v>45595</v>
      </c>
      <c r="J206" s="415">
        <v>593.6</v>
      </c>
      <c r="K206" s="412" t="s">
        <v>5</v>
      </c>
      <c r="L206" s="412" t="s">
        <v>347</v>
      </c>
      <c r="M206" s="412" t="s">
        <v>733</v>
      </c>
    </row>
    <row r="207" spans="1:13" x14ac:dyDescent="0.2">
      <c r="A207" s="412" t="s">
        <v>341</v>
      </c>
      <c r="B207" s="413">
        <v>45640</v>
      </c>
      <c r="C207" s="412" t="s">
        <v>727</v>
      </c>
      <c r="D207" s="412" t="s">
        <v>696</v>
      </c>
      <c r="E207" s="414" t="s">
        <v>728</v>
      </c>
      <c r="F207" s="414" t="s">
        <v>728</v>
      </c>
      <c r="G207" s="412" t="s">
        <v>345</v>
      </c>
      <c r="H207" s="412" t="s">
        <v>729</v>
      </c>
      <c r="I207" s="413">
        <v>45642</v>
      </c>
      <c r="J207" s="415">
        <v>761.6</v>
      </c>
      <c r="K207" s="412" t="s">
        <v>5</v>
      </c>
      <c r="L207" s="412" t="s">
        <v>347</v>
      </c>
      <c r="M207" s="412" t="s">
        <v>733</v>
      </c>
    </row>
    <row r="208" spans="1:13" ht="13.5" thickBot="1" x14ac:dyDescent="0.25">
      <c r="A208" s="412" t="s">
        <v>341</v>
      </c>
      <c r="B208" s="413">
        <v>45640</v>
      </c>
      <c r="C208" s="412" t="s">
        <v>730</v>
      </c>
      <c r="D208" s="412" t="s">
        <v>696</v>
      </c>
      <c r="E208" s="414" t="s">
        <v>731</v>
      </c>
      <c r="F208" s="414" t="s">
        <v>731</v>
      </c>
      <c r="G208" s="412" t="s">
        <v>345</v>
      </c>
      <c r="H208" s="412" t="s">
        <v>732</v>
      </c>
      <c r="I208" s="413">
        <v>45642</v>
      </c>
      <c r="J208" s="415">
        <v>638.4</v>
      </c>
      <c r="K208" s="412" t="s">
        <v>5</v>
      </c>
      <c r="L208" s="412" t="s">
        <v>347</v>
      </c>
      <c r="M208" s="412" t="s">
        <v>733</v>
      </c>
    </row>
    <row r="209" spans="1:13" ht="13.5" thickBot="1" x14ac:dyDescent="0.25">
      <c r="J209" s="417">
        <f>SUM(J197:J208)</f>
        <v>6326.09</v>
      </c>
    </row>
    <row r="211" spans="1:13" x14ac:dyDescent="0.2">
      <c r="A211" s="412" t="s">
        <v>341</v>
      </c>
      <c r="B211" s="413">
        <v>45303</v>
      </c>
      <c r="C211" s="412" t="s">
        <v>695</v>
      </c>
      <c r="D211" s="412" t="s">
        <v>696</v>
      </c>
      <c r="E211" s="414" t="s">
        <v>697</v>
      </c>
      <c r="F211" s="414" t="s">
        <v>697</v>
      </c>
      <c r="G211" s="412" t="s">
        <v>345</v>
      </c>
      <c r="H211" s="412" t="s">
        <v>698</v>
      </c>
      <c r="I211" s="413">
        <v>45303</v>
      </c>
      <c r="J211" s="415">
        <v>2547.0500000000002</v>
      </c>
      <c r="K211" s="412" t="s">
        <v>5</v>
      </c>
      <c r="L211" s="412" t="s">
        <v>347</v>
      </c>
      <c r="M211" s="412" t="s">
        <v>734</v>
      </c>
    </row>
    <row r="212" spans="1:13" x14ac:dyDescent="0.2">
      <c r="A212" s="412" t="s">
        <v>341</v>
      </c>
      <c r="B212" s="413">
        <v>45355</v>
      </c>
      <c r="C212" s="412" t="s">
        <v>700</v>
      </c>
      <c r="D212" s="412" t="s">
        <v>696</v>
      </c>
      <c r="E212" s="414" t="s">
        <v>701</v>
      </c>
      <c r="F212" s="414" t="s">
        <v>701</v>
      </c>
      <c r="G212" s="412" t="s">
        <v>345</v>
      </c>
      <c r="H212" s="412" t="s">
        <v>702</v>
      </c>
      <c r="I212" s="413">
        <v>45355</v>
      </c>
      <c r="J212" s="415">
        <v>2699.02</v>
      </c>
      <c r="K212" s="412" t="s">
        <v>5</v>
      </c>
      <c r="L212" s="412" t="s">
        <v>347</v>
      </c>
      <c r="M212" s="412" t="s">
        <v>734</v>
      </c>
    </row>
    <row r="213" spans="1:13" x14ac:dyDescent="0.2">
      <c r="A213" s="412" t="s">
        <v>341</v>
      </c>
      <c r="B213" s="413">
        <v>45390</v>
      </c>
      <c r="C213" s="412" t="s">
        <v>703</v>
      </c>
      <c r="D213" s="412" t="s">
        <v>696</v>
      </c>
      <c r="E213" s="414" t="s">
        <v>704</v>
      </c>
      <c r="F213" s="414" t="s">
        <v>704</v>
      </c>
      <c r="G213" s="412" t="s">
        <v>345</v>
      </c>
      <c r="H213" s="412" t="s">
        <v>705</v>
      </c>
      <c r="I213" s="413">
        <v>45390</v>
      </c>
      <c r="J213" s="415">
        <v>2200.1999999999998</v>
      </c>
      <c r="K213" s="412" t="s">
        <v>5</v>
      </c>
      <c r="L213" s="412" t="s">
        <v>347</v>
      </c>
      <c r="M213" s="412" t="s">
        <v>734</v>
      </c>
    </row>
    <row r="214" spans="1:13" x14ac:dyDescent="0.2">
      <c r="A214" s="412" t="s">
        <v>341</v>
      </c>
      <c r="B214" s="413">
        <v>45427</v>
      </c>
      <c r="C214" s="412" t="s">
        <v>706</v>
      </c>
      <c r="D214" s="412" t="s">
        <v>696</v>
      </c>
      <c r="E214" s="414" t="s">
        <v>707</v>
      </c>
      <c r="F214" s="414" t="s">
        <v>707</v>
      </c>
      <c r="G214" s="412" t="s">
        <v>345</v>
      </c>
      <c r="H214" s="412" t="s">
        <v>708</v>
      </c>
      <c r="I214" s="413">
        <v>45427</v>
      </c>
      <c r="J214" s="415">
        <v>670.4</v>
      </c>
      <c r="K214" s="412" t="s">
        <v>5</v>
      </c>
      <c r="L214" s="412" t="s">
        <v>347</v>
      </c>
      <c r="M214" s="412" t="s">
        <v>734</v>
      </c>
    </row>
    <row r="215" spans="1:13" x14ac:dyDescent="0.2">
      <c r="A215" s="412" t="s">
        <v>341</v>
      </c>
      <c r="B215" s="413">
        <v>45427</v>
      </c>
      <c r="C215" s="412" t="s">
        <v>709</v>
      </c>
      <c r="D215" s="412" t="s">
        <v>696</v>
      </c>
      <c r="E215" s="414" t="s">
        <v>710</v>
      </c>
      <c r="F215" s="414" t="s">
        <v>710</v>
      </c>
      <c r="G215" s="412" t="s">
        <v>345</v>
      </c>
      <c r="H215" s="412" t="s">
        <v>711</v>
      </c>
      <c r="I215" s="413">
        <v>45427</v>
      </c>
      <c r="J215" s="415">
        <v>1816.4</v>
      </c>
      <c r="K215" s="412" t="s">
        <v>5</v>
      </c>
      <c r="L215" s="412" t="s">
        <v>347</v>
      </c>
      <c r="M215" s="412" t="s">
        <v>734</v>
      </c>
    </row>
    <row r="216" spans="1:13" x14ac:dyDescent="0.2">
      <c r="A216" s="412" t="s">
        <v>341</v>
      </c>
      <c r="B216" s="413">
        <v>45464</v>
      </c>
      <c r="C216" s="412" t="s">
        <v>712</v>
      </c>
      <c r="D216" s="412" t="s">
        <v>696</v>
      </c>
      <c r="E216" s="414" t="s">
        <v>713</v>
      </c>
      <c r="F216" s="414" t="s">
        <v>713</v>
      </c>
      <c r="G216" s="412" t="s">
        <v>345</v>
      </c>
      <c r="H216" s="412" t="s">
        <v>714</v>
      </c>
      <c r="I216" s="413">
        <v>45464</v>
      </c>
      <c r="J216" s="415">
        <v>561.4</v>
      </c>
      <c r="K216" s="412" t="s">
        <v>5</v>
      </c>
      <c r="L216" s="412" t="s">
        <v>347</v>
      </c>
      <c r="M216" s="412" t="s">
        <v>734</v>
      </c>
    </row>
    <row r="217" spans="1:13" x14ac:dyDescent="0.2">
      <c r="A217" s="412" t="s">
        <v>341</v>
      </c>
      <c r="B217" s="413">
        <v>45505</v>
      </c>
      <c r="C217" s="412" t="s">
        <v>715</v>
      </c>
      <c r="D217" s="412" t="s">
        <v>696</v>
      </c>
      <c r="E217" s="414" t="s">
        <v>716</v>
      </c>
      <c r="F217" s="414" t="s">
        <v>716</v>
      </c>
      <c r="G217" s="412" t="s">
        <v>345</v>
      </c>
      <c r="H217" s="412" t="s">
        <v>717</v>
      </c>
      <c r="I217" s="413">
        <v>45505</v>
      </c>
      <c r="J217" s="415">
        <v>504.8</v>
      </c>
      <c r="K217" s="412" t="s">
        <v>5</v>
      </c>
      <c r="L217" s="412" t="s">
        <v>347</v>
      </c>
      <c r="M217" s="412" t="s">
        <v>734</v>
      </c>
    </row>
    <row r="218" spans="1:13" x14ac:dyDescent="0.2">
      <c r="A218" s="412" t="s">
        <v>341</v>
      </c>
      <c r="B218" s="413">
        <v>45539</v>
      </c>
      <c r="C218" s="412" t="s">
        <v>718</v>
      </c>
      <c r="D218" s="412" t="s">
        <v>696</v>
      </c>
      <c r="E218" s="414" t="s">
        <v>719</v>
      </c>
      <c r="F218" s="414" t="s">
        <v>719</v>
      </c>
      <c r="G218" s="412" t="s">
        <v>345</v>
      </c>
      <c r="H218" s="412" t="s">
        <v>720</v>
      </c>
      <c r="I218" s="413">
        <v>45539</v>
      </c>
      <c r="J218" s="415">
        <v>561.4</v>
      </c>
      <c r="K218" s="412" t="s">
        <v>5</v>
      </c>
      <c r="L218" s="412" t="s">
        <v>347</v>
      </c>
      <c r="M218" s="412" t="s">
        <v>734</v>
      </c>
    </row>
    <row r="219" spans="1:13" x14ac:dyDescent="0.2">
      <c r="A219" s="412" t="s">
        <v>341</v>
      </c>
      <c r="B219" s="413">
        <v>45567</v>
      </c>
      <c r="C219" s="412" t="s">
        <v>721</v>
      </c>
      <c r="D219" s="412" t="s">
        <v>696</v>
      </c>
      <c r="E219" s="414" t="s">
        <v>722</v>
      </c>
      <c r="F219" s="414" t="s">
        <v>722</v>
      </c>
      <c r="G219" s="412" t="s">
        <v>345</v>
      </c>
      <c r="H219" s="412" t="s">
        <v>723</v>
      </c>
      <c r="I219" s="413">
        <v>45567</v>
      </c>
      <c r="J219" s="415">
        <v>561.4</v>
      </c>
      <c r="K219" s="412" t="s">
        <v>5</v>
      </c>
      <c r="L219" s="412" t="s">
        <v>347</v>
      </c>
      <c r="M219" s="412" t="s">
        <v>734</v>
      </c>
    </row>
    <row r="220" spans="1:13" x14ac:dyDescent="0.2">
      <c r="A220" s="412" t="s">
        <v>341</v>
      </c>
      <c r="B220" s="413">
        <v>45595</v>
      </c>
      <c r="C220" s="412" t="s">
        <v>724</v>
      </c>
      <c r="D220" s="412" t="s">
        <v>696</v>
      </c>
      <c r="E220" s="414" t="s">
        <v>725</v>
      </c>
      <c r="F220" s="414" t="s">
        <v>725</v>
      </c>
      <c r="G220" s="412" t="s">
        <v>345</v>
      </c>
      <c r="H220" s="412" t="s">
        <v>726</v>
      </c>
      <c r="I220" s="413">
        <v>45595</v>
      </c>
      <c r="J220" s="415">
        <v>561.4</v>
      </c>
      <c r="K220" s="412" t="s">
        <v>5</v>
      </c>
      <c r="L220" s="412" t="s">
        <v>347</v>
      </c>
      <c r="M220" s="412" t="s">
        <v>734</v>
      </c>
    </row>
    <row r="221" spans="1:13" x14ac:dyDescent="0.2">
      <c r="A221" s="412" t="s">
        <v>341</v>
      </c>
      <c r="B221" s="413">
        <v>45640</v>
      </c>
      <c r="C221" s="412" t="s">
        <v>727</v>
      </c>
      <c r="D221" s="412" t="s">
        <v>696</v>
      </c>
      <c r="E221" s="414" t="s">
        <v>728</v>
      </c>
      <c r="F221" s="414" t="s">
        <v>728</v>
      </c>
      <c r="G221" s="412" t="s">
        <v>345</v>
      </c>
      <c r="H221" s="412" t="s">
        <v>729</v>
      </c>
      <c r="I221" s="413">
        <v>45642</v>
      </c>
      <c r="J221" s="415">
        <v>1177.4000000000001</v>
      </c>
      <c r="K221" s="412" t="s">
        <v>5</v>
      </c>
      <c r="L221" s="412" t="s">
        <v>347</v>
      </c>
      <c r="M221" s="412" t="s">
        <v>734</v>
      </c>
    </row>
    <row r="222" spans="1:13" x14ac:dyDescent="0.2">
      <c r="A222" s="412" t="s">
        <v>341</v>
      </c>
      <c r="B222" s="413">
        <v>45640</v>
      </c>
      <c r="C222" s="412" t="s">
        <v>730</v>
      </c>
      <c r="D222" s="412" t="s">
        <v>696</v>
      </c>
      <c r="E222" s="414" t="s">
        <v>731</v>
      </c>
      <c r="F222" s="414" t="s">
        <v>731</v>
      </c>
      <c r="G222" s="412" t="s">
        <v>345</v>
      </c>
      <c r="H222" s="412" t="s">
        <v>732</v>
      </c>
      <c r="I222" s="413">
        <v>45642</v>
      </c>
      <c r="J222" s="415">
        <v>691.4</v>
      </c>
      <c r="K222" s="412" t="s">
        <v>5</v>
      </c>
      <c r="L222" s="412" t="s">
        <v>347</v>
      </c>
      <c r="M222" s="412" t="s">
        <v>734</v>
      </c>
    </row>
    <row r="223" spans="1:13" x14ac:dyDescent="0.2">
      <c r="A223" s="412" t="s">
        <v>341</v>
      </c>
      <c r="B223" s="413">
        <v>45294</v>
      </c>
      <c r="C223" s="412" t="s">
        <v>735</v>
      </c>
      <c r="D223" s="412" t="s">
        <v>736</v>
      </c>
      <c r="E223" s="414" t="s">
        <v>737</v>
      </c>
      <c r="F223" s="414" t="s">
        <v>737</v>
      </c>
      <c r="G223" s="412" t="s">
        <v>345</v>
      </c>
      <c r="H223" s="412" t="s">
        <v>738</v>
      </c>
      <c r="I223" s="413">
        <v>45294</v>
      </c>
      <c r="J223" s="415">
        <v>89.54</v>
      </c>
      <c r="K223" s="412" t="s">
        <v>5</v>
      </c>
      <c r="L223" s="412" t="s">
        <v>347</v>
      </c>
      <c r="M223" s="412" t="s">
        <v>734</v>
      </c>
    </row>
    <row r="224" spans="1:13" x14ac:dyDescent="0.2">
      <c r="A224" s="412" t="s">
        <v>341</v>
      </c>
      <c r="B224" s="413">
        <v>45348</v>
      </c>
      <c r="C224" s="412" t="s">
        <v>739</v>
      </c>
      <c r="D224" s="412" t="s">
        <v>736</v>
      </c>
      <c r="E224" s="414" t="s">
        <v>737</v>
      </c>
      <c r="F224" s="414" t="s">
        <v>737</v>
      </c>
      <c r="G224" s="412" t="s">
        <v>345</v>
      </c>
      <c r="H224" s="412" t="s">
        <v>740</v>
      </c>
      <c r="I224" s="413">
        <v>45348</v>
      </c>
      <c r="J224" s="415">
        <v>89.54</v>
      </c>
      <c r="K224" s="412" t="s">
        <v>5</v>
      </c>
      <c r="L224" s="412" t="s">
        <v>347</v>
      </c>
      <c r="M224" s="412" t="s">
        <v>734</v>
      </c>
    </row>
    <row r="225" spans="1:13" x14ac:dyDescent="0.2">
      <c r="A225" s="412" t="s">
        <v>341</v>
      </c>
      <c r="B225" s="413">
        <v>45362</v>
      </c>
      <c r="C225" s="412" t="s">
        <v>741</v>
      </c>
      <c r="D225" s="412" t="s">
        <v>736</v>
      </c>
      <c r="E225" s="414" t="s">
        <v>737</v>
      </c>
      <c r="F225" s="414" t="s">
        <v>737</v>
      </c>
      <c r="G225" s="412" t="s">
        <v>345</v>
      </c>
      <c r="H225" s="412" t="s">
        <v>742</v>
      </c>
      <c r="I225" s="413">
        <v>45362</v>
      </c>
      <c r="J225" s="415">
        <v>89.54</v>
      </c>
      <c r="K225" s="412" t="s">
        <v>5</v>
      </c>
      <c r="L225" s="412" t="s">
        <v>347</v>
      </c>
      <c r="M225" s="412" t="s">
        <v>734</v>
      </c>
    </row>
    <row r="226" spans="1:13" x14ac:dyDescent="0.2">
      <c r="A226" s="412" t="s">
        <v>341</v>
      </c>
      <c r="B226" s="413">
        <v>45390</v>
      </c>
      <c r="C226" s="412" t="s">
        <v>743</v>
      </c>
      <c r="D226" s="412" t="s">
        <v>736</v>
      </c>
      <c r="E226" s="414" t="s">
        <v>737</v>
      </c>
      <c r="F226" s="414" t="s">
        <v>737</v>
      </c>
      <c r="G226" s="412" t="s">
        <v>345</v>
      </c>
      <c r="H226" s="412" t="s">
        <v>744</v>
      </c>
      <c r="I226" s="413">
        <v>45390</v>
      </c>
      <c r="J226" s="415">
        <v>89.54</v>
      </c>
      <c r="K226" s="412" t="s">
        <v>5</v>
      </c>
      <c r="L226" s="412" t="s">
        <v>347</v>
      </c>
      <c r="M226" s="412" t="s">
        <v>734</v>
      </c>
    </row>
    <row r="227" spans="1:13" x14ac:dyDescent="0.2">
      <c r="A227" s="412" t="s">
        <v>341</v>
      </c>
      <c r="B227" s="413">
        <v>45421</v>
      </c>
      <c r="C227" s="412" t="s">
        <v>745</v>
      </c>
      <c r="D227" s="412" t="s">
        <v>736</v>
      </c>
      <c r="E227" s="414" t="s">
        <v>737</v>
      </c>
      <c r="F227" s="414" t="s">
        <v>737</v>
      </c>
      <c r="G227" s="412" t="s">
        <v>345</v>
      </c>
      <c r="H227" s="412" t="s">
        <v>746</v>
      </c>
      <c r="I227" s="413">
        <v>45421</v>
      </c>
      <c r="J227" s="415">
        <v>89.54</v>
      </c>
      <c r="K227" s="412" t="s">
        <v>5</v>
      </c>
      <c r="L227" s="412" t="s">
        <v>347</v>
      </c>
      <c r="M227" s="412" t="s">
        <v>734</v>
      </c>
    </row>
    <row r="228" spans="1:13" x14ac:dyDescent="0.2">
      <c r="A228" s="412" t="s">
        <v>341</v>
      </c>
      <c r="B228" s="413">
        <v>45446</v>
      </c>
      <c r="C228" s="412" t="s">
        <v>747</v>
      </c>
      <c r="D228" s="412" t="s">
        <v>736</v>
      </c>
      <c r="E228" s="414" t="s">
        <v>737</v>
      </c>
      <c r="F228" s="414" t="s">
        <v>737</v>
      </c>
      <c r="G228" s="412" t="s">
        <v>345</v>
      </c>
      <c r="H228" s="412" t="s">
        <v>748</v>
      </c>
      <c r="I228" s="413">
        <v>45447</v>
      </c>
      <c r="J228" s="415">
        <v>89.54</v>
      </c>
      <c r="K228" s="412" t="s">
        <v>5</v>
      </c>
      <c r="L228" s="412" t="s">
        <v>347</v>
      </c>
      <c r="M228" s="412" t="s">
        <v>734</v>
      </c>
    </row>
    <row r="229" spans="1:13" x14ac:dyDescent="0.2">
      <c r="A229" s="412" t="s">
        <v>341</v>
      </c>
      <c r="B229" s="413">
        <v>45489</v>
      </c>
      <c r="C229" s="412" t="s">
        <v>749</v>
      </c>
      <c r="D229" s="412" t="s">
        <v>736</v>
      </c>
      <c r="E229" s="414" t="s">
        <v>737</v>
      </c>
      <c r="F229" s="414" t="s">
        <v>737</v>
      </c>
      <c r="G229" s="412" t="s">
        <v>345</v>
      </c>
      <c r="H229" s="412" t="s">
        <v>750</v>
      </c>
      <c r="I229" s="413">
        <v>45489</v>
      </c>
      <c r="J229" s="415">
        <v>89.54</v>
      </c>
      <c r="K229" s="412" t="s">
        <v>5</v>
      </c>
      <c r="L229" s="412" t="s">
        <v>347</v>
      </c>
      <c r="M229" s="412" t="s">
        <v>734</v>
      </c>
    </row>
    <row r="230" spans="1:13" x14ac:dyDescent="0.2">
      <c r="A230" s="412" t="s">
        <v>341</v>
      </c>
      <c r="B230" s="413">
        <v>45532</v>
      </c>
      <c r="C230" s="412" t="s">
        <v>751</v>
      </c>
      <c r="D230" s="412" t="s">
        <v>736</v>
      </c>
      <c r="E230" s="414" t="s">
        <v>737</v>
      </c>
      <c r="F230" s="414" t="s">
        <v>737</v>
      </c>
      <c r="G230" s="412" t="s">
        <v>345</v>
      </c>
      <c r="H230" s="412" t="s">
        <v>752</v>
      </c>
      <c r="I230" s="413">
        <v>45532</v>
      </c>
      <c r="J230" s="415">
        <v>89.54</v>
      </c>
      <c r="K230" s="412" t="s">
        <v>5</v>
      </c>
      <c r="L230" s="412" t="s">
        <v>347</v>
      </c>
      <c r="M230" s="412" t="s">
        <v>734</v>
      </c>
    </row>
    <row r="231" spans="1:13" x14ac:dyDescent="0.2">
      <c r="A231" s="412" t="s">
        <v>341</v>
      </c>
      <c r="B231" s="413">
        <v>45567</v>
      </c>
      <c r="C231" s="412" t="s">
        <v>753</v>
      </c>
      <c r="D231" s="412" t="s">
        <v>736</v>
      </c>
      <c r="E231" s="414" t="s">
        <v>737</v>
      </c>
      <c r="F231" s="414" t="s">
        <v>737</v>
      </c>
      <c r="G231" s="412" t="s">
        <v>345</v>
      </c>
      <c r="H231" s="412" t="s">
        <v>754</v>
      </c>
      <c r="I231" s="413">
        <v>45567</v>
      </c>
      <c r="J231" s="415">
        <v>89.54</v>
      </c>
      <c r="K231" s="412" t="s">
        <v>5</v>
      </c>
      <c r="L231" s="412" t="s">
        <v>347</v>
      </c>
      <c r="M231" s="412" t="s">
        <v>734</v>
      </c>
    </row>
    <row r="232" spans="1:13" x14ac:dyDescent="0.2">
      <c r="A232" s="412" t="s">
        <v>341</v>
      </c>
      <c r="B232" s="413">
        <v>45607</v>
      </c>
      <c r="C232" s="412" t="s">
        <v>755</v>
      </c>
      <c r="D232" s="412" t="s">
        <v>736</v>
      </c>
      <c r="E232" s="414" t="s">
        <v>737</v>
      </c>
      <c r="F232" s="414" t="s">
        <v>737</v>
      </c>
      <c r="G232" s="412" t="s">
        <v>345</v>
      </c>
      <c r="H232" s="412" t="s">
        <v>756</v>
      </c>
      <c r="I232" s="413">
        <v>45607</v>
      </c>
      <c r="J232" s="415">
        <v>89.54</v>
      </c>
      <c r="K232" s="412" t="s">
        <v>5</v>
      </c>
      <c r="L232" s="412" t="s">
        <v>347</v>
      </c>
      <c r="M232" s="412" t="s">
        <v>734</v>
      </c>
    </row>
    <row r="233" spans="1:13" x14ac:dyDescent="0.2">
      <c r="A233" s="412" t="s">
        <v>341</v>
      </c>
      <c r="B233" s="413">
        <v>45637</v>
      </c>
      <c r="C233" s="412" t="s">
        <v>757</v>
      </c>
      <c r="D233" s="412" t="s">
        <v>736</v>
      </c>
      <c r="E233" s="414" t="s">
        <v>737</v>
      </c>
      <c r="F233" s="414" t="s">
        <v>737</v>
      </c>
      <c r="G233" s="412" t="s">
        <v>345</v>
      </c>
      <c r="H233" s="412" t="s">
        <v>758</v>
      </c>
      <c r="I233" s="413">
        <v>45637</v>
      </c>
      <c r="J233" s="415">
        <v>89.54</v>
      </c>
      <c r="K233" s="412" t="s">
        <v>5</v>
      </c>
      <c r="L233" s="412" t="s">
        <v>347</v>
      </c>
      <c r="M233" s="412" t="s">
        <v>734</v>
      </c>
    </row>
    <row r="234" spans="1:13" x14ac:dyDescent="0.2">
      <c r="A234" s="412" t="s">
        <v>341</v>
      </c>
      <c r="B234" s="413">
        <v>45307</v>
      </c>
      <c r="C234" s="412" t="s">
        <v>774</v>
      </c>
      <c r="D234" s="412" t="s">
        <v>775</v>
      </c>
      <c r="E234" s="414" t="s">
        <v>776</v>
      </c>
      <c r="F234" s="414" t="s">
        <v>776</v>
      </c>
      <c r="G234" s="412" t="s">
        <v>345</v>
      </c>
      <c r="H234" s="412" t="s">
        <v>777</v>
      </c>
      <c r="I234" s="413">
        <v>45308</v>
      </c>
      <c r="J234" s="415">
        <v>508.73</v>
      </c>
      <c r="K234" s="412" t="s">
        <v>5</v>
      </c>
      <c r="L234" s="412" t="s">
        <v>347</v>
      </c>
      <c r="M234" s="412" t="s">
        <v>734</v>
      </c>
    </row>
    <row r="235" spans="1:13" x14ac:dyDescent="0.2">
      <c r="A235" s="412" t="s">
        <v>341</v>
      </c>
      <c r="B235" s="413">
        <v>45341</v>
      </c>
      <c r="C235" s="412" t="s">
        <v>778</v>
      </c>
      <c r="D235" s="412" t="s">
        <v>775</v>
      </c>
      <c r="E235" s="414" t="s">
        <v>776</v>
      </c>
      <c r="F235" s="414" t="s">
        <v>776</v>
      </c>
      <c r="G235" s="412" t="s">
        <v>345</v>
      </c>
      <c r="H235" s="412" t="s">
        <v>779</v>
      </c>
      <c r="I235" s="413">
        <v>45341</v>
      </c>
      <c r="J235" s="415">
        <v>508.73</v>
      </c>
      <c r="K235" s="412" t="s">
        <v>5</v>
      </c>
      <c r="L235" s="412" t="s">
        <v>347</v>
      </c>
      <c r="M235" s="412" t="s">
        <v>734</v>
      </c>
    </row>
    <row r="236" spans="1:13" x14ac:dyDescent="0.2">
      <c r="A236" s="412" t="s">
        <v>341</v>
      </c>
      <c r="B236" s="413">
        <v>45369</v>
      </c>
      <c r="C236" s="412" t="s">
        <v>780</v>
      </c>
      <c r="D236" s="412" t="s">
        <v>775</v>
      </c>
      <c r="E236" s="414" t="s">
        <v>776</v>
      </c>
      <c r="F236" s="414" t="s">
        <v>776</v>
      </c>
      <c r="G236" s="412" t="s">
        <v>345</v>
      </c>
      <c r="H236" s="412" t="s">
        <v>781</v>
      </c>
      <c r="I236" s="413">
        <v>45369</v>
      </c>
      <c r="J236" s="415">
        <v>508.73</v>
      </c>
      <c r="K236" s="412" t="s">
        <v>5</v>
      </c>
      <c r="L236" s="412" t="s">
        <v>347</v>
      </c>
      <c r="M236" s="412" t="s">
        <v>734</v>
      </c>
    </row>
    <row r="237" spans="1:13" x14ac:dyDescent="0.2">
      <c r="A237" s="412" t="s">
        <v>341</v>
      </c>
      <c r="B237" s="413">
        <v>45406</v>
      </c>
      <c r="C237" s="412" t="s">
        <v>782</v>
      </c>
      <c r="D237" s="412" t="s">
        <v>775</v>
      </c>
      <c r="E237" s="414" t="s">
        <v>776</v>
      </c>
      <c r="F237" s="414" t="s">
        <v>776</v>
      </c>
      <c r="G237" s="412" t="s">
        <v>345</v>
      </c>
      <c r="H237" s="412" t="s">
        <v>783</v>
      </c>
      <c r="I237" s="413">
        <v>45407</v>
      </c>
      <c r="J237" s="415">
        <v>508.73</v>
      </c>
      <c r="K237" s="412" t="s">
        <v>5</v>
      </c>
      <c r="L237" s="412" t="s">
        <v>347</v>
      </c>
      <c r="M237" s="412" t="s">
        <v>734</v>
      </c>
    </row>
    <row r="238" spans="1:13" x14ac:dyDescent="0.2">
      <c r="A238" s="412" t="s">
        <v>341</v>
      </c>
      <c r="B238" s="413">
        <v>45432</v>
      </c>
      <c r="C238" s="412" t="s">
        <v>784</v>
      </c>
      <c r="D238" s="412" t="s">
        <v>775</v>
      </c>
      <c r="E238" s="414" t="s">
        <v>776</v>
      </c>
      <c r="F238" s="414" t="s">
        <v>776</v>
      </c>
      <c r="G238" s="412" t="s">
        <v>345</v>
      </c>
      <c r="H238" s="412" t="s">
        <v>785</v>
      </c>
      <c r="I238" s="413">
        <v>45432</v>
      </c>
      <c r="J238" s="415">
        <v>508.73</v>
      </c>
      <c r="K238" s="412" t="s">
        <v>5</v>
      </c>
      <c r="L238" s="412" t="s">
        <v>347</v>
      </c>
      <c r="M238" s="412" t="s">
        <v>734</v>
      </c>
    </row>
    <row r="239" spans="1:13" x14ac:dyDescent="0.2">
      <c r="A239" s="412" t="s">
        <v>341</v>
      </c>
      <c r="B239" s="413">
        <v>45496</v>
      </c>
      <c r="C239" s="412" t="s">
        <v>759</v>
      </c>
      <c r="D239" s="412" t="s">
        <v>760</v>
      </c>
      <c r="E239" s="414" t="s">
        <v>761</v>
      </c>
      <c r="F239" s="414" t="s">
        <v>761</v>
      </c>
      <c r="G239" s="412" t="s">
        <v>345</v>
      </c>
      <c r="H239" s="412" t="s">
        <v>762</v>
      </c>
      <c r="I239" s="413">
        <v>45496</v>
      </c>
      <c r="J239" s="415">
        <v>571.73</v>
      </c>
      <c r="K239" s="412" t="s">
        <v>5</v>
      </c>
      <c r="L239" s="412" t="s">
        <v>347</v>
      </c>
      <c r="M239" s="412" t="s">
        <v>734</v>
      </c>
    </row>
    <row r="240" spans="1:13" x14ac:dyDescent="0.2">
      <c r="A240" s="412" t="s">
        <v>341</v>
      </c>
      <c r="B240" s="413">
        <v>45510</v>
      </c>
      <c r="C240" s="412" t="s">
        <v>763</v>
      </c>
      <c r="D240" s="412" t="s">
        <v>760</v>
      </c>
      <c r="E240" s="414" t="s">
        <v>764</v>
      </c>
      <c r="F240" s="414" t="s">
        <v>764</v>
      </c>
      <c r="G240" s="412" t="s">
        <v>345</v>
      </c>
      <c r="H240" s="412" t="s">
        <v>765</v>
      </c>
      <c r="I240" s="413">
        <v>45510</v>
      </c>
      <c r="J240" s="415">
        <v>635.25</v>
      </c>
      <c r="K240" s="412" t="s">
        <v>5</v>
      </c>
      <c r="L240" s="412" t="s">
        <v>347</v>
      </c>
      <c r="M240" s="412" t="s">
        <v>734</v>
      </c>
    </row>
    <row r="241" spans="1:13" x14ac:dyDescent="0.2">
      <c r="A241" s="412" t="s">
        <v>341</v>
      </c>
      <c r="B241" s="413">
        <v>45551</v>
      </c>
      <c r="C241" s="412" t="s">
        <v>766</v>
      </c>
      <c r="D241" s="412" t="s">
        <v>760</v>
      </c>
      <c r="E241" s="414" t="s">
        <v>764</v>
      </c>
      <c r="F241" s="414" t="s">
        <v>764</v>
      </c>
      <c r="G241" s="412" t="s">
        <v>345</v>
      </c>
      <c r="H241" s="412" t="s">
        <v>767</v>
      </c>
      <c r="I241" s="413">
        <v>45551</v>
      </c>
      <c r="J241" s="415">
        <v>635.25</v>
      </c>
      <c r="K241" s="412" t="s">
        <v>5</v>
      </c>
      <c r="L241" s="412" t="s">
        <v>347</v>
      </c>
      <c r="M241" s="412" t="s">
        <v>734</v>
      </c>
    </row>
    <row r="242" spans="1:13" x14ac:dyDescent="0.2">
      <c r="A242" s="412" t="s">
        <v>341</v>
      </c>
      <c r="B242" s="413">
        <v>45580</v>
      </c>
      <c r="C242" s="412" t="s">
        <v>768</v>
      </c>
      <c r="D242" s="412" t="s">
        <v>760</v>
      </c>
      <c r="E242" s="414" t="s">
        <v>764</v>
      </c>
      <c r="F242" s="414" t="s">
        <v>764</v>
      </c>
      <c r="G242" s="412" t="s">
        <v>345</v>
      </c>
      <c r="H242" s="412" t="s">
        <v>769</v>
      </c>
      <c r="I242" s="413">
        <v>45580</v>
      </c>
      <c r="J242" s="415">
        <v>635.25</v>
      </c>
      <c r="K242" s="412" t="s">
        <v>5</v>
      </c>
      <c r="L242" s="412" t="s">
        <v>347</v>
      </c>
      <c r="M242" s="412" t="s">
        <v>734</v>
      </c>
    </row>
    <row r="243" spans="1:13" x14ac:dyDescent="0.2">
      <c r="A243" s="412" t="s">
        <v>341</v>
      </c>
      <c r="B243" s="413">
        <v>45607</v>
      </c>
      <c r="C243" s="412" t="s">
        <v>770</v>
      </c>
      <c r="D243" s="412" t="s">
        <v>760</v>
      </c>
      <c r="E243" s="414" t="s">
        <v>764</v>
      </c>
      <c r="F243" s="414" t="s">
        <v>764</v>
      </c>
      <c r="G243" s="412" t="s">
        <v>345</v>
      </c>
      <c r="H243" s="412" t="s">
        <v>771</v>
      </c>
      <c r="I243" s="413">
        <v>45607</v>
      </c>
      <c r="J243" s="415">
        <v>635.25</v>
      </c>
      <c r="K243" s="412" t="s">
        <v>5</v>
      </c>
      <c r="L243" s="412" t="s">
        <v>347</v>
      </c>
      <c r="M243" s="412" t="s">
        <v>734</v>
      </c>
    </row>
    <row r="244" spans="1:13" ht="13.5" thickBot="1" x14ac:dyDescent="0.25">
      <c r="A244" s="412" t="s">
        <v>341</v>
      </c>
      <c r="B244" s="413">
        <v>45637</v>
      </c>
      <c r="C244" s="412" t="s">
        <v>772</v>
      </c>
      <c r="D244" s="412" t="s">
        <v>760</v>
      </c>
      <c r="E244" s="414" t="s">
        <v>764</v>
      </c>
      <c r="F244" s="414" t="s">
        <v>764</v>
      </c>
      <c r="G244" s="412" t="s">
        <v>345</v>
      </c>
      <c r="H244" s="412" t="s">
        <v>773</v>
      </c>
      <c r="I244" s="413">
        <v>45637</v>
      </c>
      <c r="J244" s="415">
        <v>635.25</v>
      </c>
      <c r="K244" s="412" t="s">
        <v>5</v>
      </c>
      <c r="L244" s="412" t="s">
        <v>347</v>
      </c>
      <c r="M244" s="412" t="s">
        <v>734</v>
      </c>
    </row>
    <row r="245" spans="1:13" ht="13.5" thickBot="1" x14ac:dyDescent="0.25">
      <c r="J245" s="416">
        <f>SUM(J211:J244)</f>
        <v>21828.840000000004</v>
      </c>
    </row>
    <row r="246" spans="1:13" x14ac:dyDescent="0.2">
      <c r="A246" s="373"/>
      <c r="B246" s="373"/>
      <c r="C246" s="373"/>
      <c r="D246" s="373"/>
      <c r="E246" s="373"/>
      <c r="F246" s="373"/>
      <c r="G246" s="373"/>
      <c r="H246" s="373"/>
      <c r="I246" s="373"/>
      <c r="J246" s="373"/>
    </row>
    <row r="247" spans="1:13" x14ac:dyDescent="0.2">
      <c r="A247" s="412" t="s">
        <v>341</v>
      </c>
      <c r="B247" s="413">
        <v>45320</v>
      </c>
      <c r="C247" s="412" t="s">
        <v>786</v>
      </c>
      <c r="D247" s="412" t="s">
        <v>787</v>
      </c>
      <c r="E247" s="414" t="s">
        <v>788</v>
      </c>
      <c r="F247" s="414" t="s">
        <v>788</v>
      </c>
      <c r="G247" s="412" t="s">
        <v>345</v>
      </c>
      <c r="H247" s="412" t="s">
        <v>789</v>
      </c>
      <c r="I247" s="413">
        <v>45320</v>
      </c>
      <c r="J247" s="415">
        <v>291.83999999999997</v>
      </c>
      <c r="K247" s="412" t="s">
        <v>5</v>
      </c>
      <c r="L247" s="412" t="s">
        <v>347</v>
      </c>
      <c r="M247" s="412" t="s">
        <v>790</v>
      </c>
    </row>
    <row r="248" spans="1:13" x14ac:dyDescent="0.2">
      <c r="A248" s="412" t="s">
        <v>341</v>
      </c>
      <c r="B248" s="413">
        <v>45421</v>
      </c>
      <c r="C248" s="412" t="s">
        <v>791</v>
      </c>
      <c r="D248" s="412" t="s">
        <v>787</v>
      </c>
      <c r="E248" s="414" t="s">
        <v>792</v>
      </c>
      <c r="F248" s="414" t="s">
        <v>792</v>
      </c>
      <c r="G248" s="412" t="s">
        <v>345</v>
      </c>
      <c r="H248" s="412" t="s">
        <v>793</v>
      </c>
      <c r="I248" s="413">
        <v>45421</v>
      </c>
      <c r="J248" s="415">
        <v>378.73</v>
      </c>
      <c r="K248" s="412" t="s">
        <v>5</v>
      </c>
      <c r="L248" s="412" t="s">
        <v>347</v>
      </c>
      <c r="M248" s="412" t="s">
        <v>790</v>
      </c>
    </row>
    <row r="249" spans="1:13" x14ac:dyDescent="0.2">
      <c r="A249" s="412" t="s">
        <v>341</v>
      </c>
      <c r="B249" s="413">
        <v>45421</v>
      </c>
      <c r="C249" s="412" t="s">
        <v>794</v>
      </c>
      <c r="D249" s="412" t="s">
        <v>787</v>
      </c>
      <c r="E249" s="414" t="s">
        <v>795</v>
      </c>
      <c r="F249" s="414" t="s">
        <v>795</v>
      </c>
      <c r="G249" s="412" t="s">
        <v>345</v>
      </c>
      <c r="H249" s="412" t="s">
        <v>796</v>
      </c>
      <c r="I249" s="413">
        <v>45421</v>
      </c>
      <c r="J249" s="415">
        <v>499.73</v>
      </c>
      <c r="K249" s="412" t="s">
        <v>5</v>
      </c>
      <c r="L249" s="412" t="s">
        <v>347</v>
      </c>
      <c r="M249" s="412" t="s">
        <v>790</v>
      </c>
    </row>
    <row r="250" spans="1:13" x14ac:dyDescent="0.2">
      <c r="A250" s="412" t="s">
        <v>341</v>
      </c>
      <c r="B250" s="413">
        <v>45421</v>
      </c>
      <c r="C250" s="412" t="s">
        <v>797</v>
      </c>
      <c r="D250" s="412" t="s">
        <v>787</v>
      </c>
      <c r="E250" s="414" t="s">
        <v>798</v>
      </c>
      <c r="F250" s="414" t="s">
        <v>798</v>
      </c>
      <c r="G250" s="412" t="s">
        <v>345</v>
      </c>
      <c r="H250" s="412" t="s">
        <v>799</v>
      </c>
      <c r="I250" s="413">
        <v>45421</v>
      </c>
      <c r="J250" s="415">
        <v>244.42</v>
      </c>
      <c r="K250" s="412" t="s">
        <v>5</v>
      </c>
      <c r="L250" s="412" t="s">
        <v>347</v>
      </c>
      <c r="M250" s="412" t="s">
        <v>790</v>
      </c>
    </row>
    <row r="251" spans="1:13" x14ac:dyDescent="0.2">
      <c r="A251" s="412" t="s">
        <v>341</v>
      </c>
      <c r="B251" s="413">
        <v>45421</v>
      </c>
      <c r="C251" s="412" t="s">
        <v>800</v>
      </c>
      <c r="D251" s="412" t="s">
        <v>787</v>
      </c>
      <c r="E251" s="414" t="s">
        <v>801</v>
      </c>
      <c r="F251" s="414" t="s">
        <v>801</v>
      </c>
      <c r="G251" s="412" t="s">
        <v>345</v>
      </c>
      <c r="H251" s="412" t="s">
        <v>802</v>
      </c>
      <c r="I251" s="413">
        <v>45421</v>
      </c>
      <c r="J251" s="415">
        <v>208.6</v>
      </c>
      <c r="K251" s="412" t="s">
        <v>5</v>
      </c>
      <c r="L251" s="412" t="s">
        <v>347</v>
      </c>
      <c r="M251" s="412" t="s">
        <v>790</v>
      </c>
    </row>
    <row r="252" spans="1:13" x14ac:dyDescent="0.2">
      <c r="A252" s="412" t="s">
        <v>341</v>
      </c>
      <c r="B252" s="413">
        <v>45421</v>
      </c>
      <c r="C252" s="412" t="s">
        <v>803</v>
      </c>
      <c r="D252" s="412" t="s">
        <v>787</v>
      </c>
      <c r="E252" s="414" t="s">
        <v>804</v>
      </c>
      <c r="F252" s="414" t="s">
        <v>804</v>
      </c>
      <c r="G252" s="412" t="s">
        <v>345</v>
      </c>
      <c r="H252" s="412" t="s">
        <v>805</v>
      </c>
      <c r="I252" s="413">
        <v>45421</v>
      </c>
      <c r="J252" s="415">
        <v>331.54</v>
      </c>
      <c r="K252" s="412" t="s">
        <v>5</v>
      </c>
      <c r="L252" s="412" t="s">
        <v>347</v>
      </c>
      <c r="M252" s="412" t="s">
        <v>790</v>
      </c>
    </row>
    <row r="253" spans="1:13" x14ac:dyDescent="0.2">
      <c r="A253" s="412" t="s">
        <v>341</v>
      </c>
      <c r="B253" s="413">
        <v>45498</v>
      </c>
      <c r="C253" s="412" t="s">
        <v>806</v>
      </c>
      <c r="D253" s="412" t="s">
        <v>787</v>
      </c>
      <c r="E253" s="414" t="s">
        <v>807</v>
      </c>
      <c r="F253" s="414" t="s">
        <v>807</v>
      </c>
      <c r="G253" s="412" t="s">
        <v>345</v>
      </c>
      <c r="H253" s="412" t="s">
        <v>808</v>
      </c>
      <c r="I253" s="413">
        <v>45498</v>
      </c>
      <c r="J253" s="415">
        <v>465.29</v>
      </c>
      <c r="K253" s="412" t="s">
        <v>5</v>
      </c>
      <c r="L253" s="412" t="s">
        <v>347</v>
      </c>
      <c r="M253" s="412" t="s">
        <v>790</v>
      </c>
    </row>
    <row r="254" spans="1:13" x14ac:dyDescent="0.2">
      <c r="A254" s="412" t="s">
        <v>341</v>
      </c>
      <c r="B254" s="413">
        <v>45498</v>
      </c>
      <c r="C254" s="412" t="s">
        <v>809</v>
      </c>
      <c r="D254" s="412" t="s">
        <v>787</v>
      </c>
      <c r="E254" s="414" t="s">
        <v>810</v>
      </c>
      <c r="F254" s="414" t="s">
        <v>810</v>
      </c>
      <c r="G254" s="412" t="s">
        <v>345</v>
      </c>
      <c r="H254" s="412" t="s">
        <v>811</v>
      </c>
      <c r="I254" s="413">
        <v>45498</v>
      </c>
      <c r="J254" s="415">
        <v>359.37</v>
      </c>
      <c r="K254" s="412" t="s">
        <v>5</v>
      </c>
      <c r="L254" s="412" t="s">
        <v>347</v>
      </c>
      <c r="M254" s="412" t="s">
        <v>790</v>
      </c>
    </row>
    <row r="255" spans="1:13" x14ac:dyDescent="0.2">
      <c r="A255" s="412" t="s">
        <v>341</v>
      </c>
      <c r="B255" s="413">
        <v>45498</v>
      </c>
      <c r="C255" s="412" t="s">
        <v>812</v>
      </c>
      <c r="D255" s="412" t="s">
        <v>787</v>
      </c>
      <c r="E255" s="414" t="s">
        <v>813</v>
      </c>
      <c r="F255" s="414" t="s">
        <v>813</v>
      </c>
      <c r="G255" s="412" t="s">
        <v>345</v>
      </c>
      <c r="H255" s="412" t="s">
        <v>814</v>
      </c>
      <c r="I255" s="413">
        <v>45498</v>
      </c>
      <c r="J255" s="415">
        <v>227.48</v>
      </c>
      <c r="K255" s="412" t="s">
        <v>5</v>
      </c>
      <c r="L255" s="412" t="s">
        <v>347</v>
      </c>
      <c r="M255" s="412" t="s">
        <v>790</v>
      </c>
    </row>
    <row r="256" spans="1:13" x14ac:dyDescent="0.2">
      <c r="A256" s="412" t="s">
        <v>341</v>
      </c>
      <c r="B256" s="413">
        <v>45527</v>
      </c>
      <c r="C256" s="412" t="s">
        <v>815</v>
      </c>
      <c r="D256" s="412" t="s">
        <v>787</v>
      </c>
      <c r="E256" s="414" t="s">
        <v>816</v>
      </c>
      <c r="F256" s="414" t="s">
        <v>816</v>
      </c>
      <c r="G256" s="412" t="s">
        <v>345</v>
      </c>
      <c r="H256" s="412" t="s">
        <v>817</v>
      </c>
      <c r="I256" s="413">
        <v>45527</v>
      </c>
      <c r="J256" s="415">
        <v>540.02</v>
      </c>
      <c r="K256" s="412" t="s">
        <v>5</v>
      </c>
      <c r="L256" s="412" t="s">
        <v>347</v>
      </c>
      <c r="M256" s="412" t="s">
        <v>790</v>
      </c>
    </row>
    <row r="257" spans="1:13" x14ac:dyDescent="0.2">
      <c r="A257" s="412" t="s">
        <v>341</v>
      </c>
      <c r="B257" s="413">
        <v>45527</v>
      </c>
      <c r="C257" s="412" t="s">
        <v>818</v>
      </c>
      <c r="D257" s="412" t="s">
        <v>787</v>
      </c>
      <c r="E257" s="414" t="s">
        <v>819</v>
      </c>
      <c r="F257" s="414" t="s">
        <v>819</v>
      </c>
      <c r="G257" s="412" t="s">
        <v>345</v>
      </c>
      <c r="H257" s="412" t="s">
        <v>820</v>
      </c>
      <c r="I257" s="413">
        <v>45527</v>
      </c>
      <c r="J257" s="415">
        <v>302.5</v>
      </c>
      <c r="K257" s="412" t="s">
        <v>5</v>
      </c>
      <c r="L257" s="412" t="s">
        <v>347</v>
      </c>
      <c r="M257" s="412" t="s">
        <v>790</v>
      </c>
    </row>
    <row r="258" spans="1:13" x14ac:dyDescent="0.2">
      <c r="A258" s="412" t="s">
        <v>341</v>
      </c>
      <c r="B258" s="413">
        <v>45554</v>
      </c>
      <c r="C258" s="412" t="s">
        <v>821</v>
      </c>
      <c r="D258" s="412" t="s">
        <v>787</v>
      </c>
      <c r="E258" s="414" t="s">
        <v>822</v>
      </c>
      <c r="F258" s="414" t="s">
        <v>822</v>
      </c>
      <c r="G258" s="412" t="s">
        <v>345</v>
      </c>
      <c r="H258" s="412" t="s">
        <v>823</v>
      </c>
      <c r="I258" s="413">
        <v>45554</v>
      </c>
      <c r="J258" s="415">
        <v>378.55</v>
      </c>
      <c r="K258" s="412" t="s">
        <v>5</v>
      </c>
      <c r="L258" s="412" t="s">
        <v>347</v>
      </c>
      <c r="M258" s="412" t="s">
        <v>790</v>
      </c>
    </row>
    <row r="259" spans="1:13" x14ac:dyDescent="0.2">
      <c r="A259" s="412" t="s">
        <v>341</v>
      </c>
      <c r="B259" s="413">
        <v>45554</v>
      </c>
      <c r="C259" s="412" t="s">
        <v>824</v>
      </c>
      <c r="D259" s="412" t="s">
        <v>787</v>
      </c>
      <c r="E259" s="414" t="s">
        <v>825</v>
      </c>
      <c r="F259" s="414" t="s">
        <v>825</v>
      </c>
      <c r="G259" s="412" t="s">
        <v>345</v>
      </c>
      <c r="H259" s="412" t="s">
        <v>826</v>
      </c>
      <c r="I259" s="413">
        <v>45554</v>
      </c>
      <c r="J259" s="415">
        <v>227.84</v>
      </c>
      <c r="K259" s="412" t="s">
        <v>5</v>
      </c>
      <c r="L259" s="412" t="s">
        <v>347</v>
      </c>
      <c r="M259" s="412" t="s">
        <v>790</v>
      </c>
    </row>
    <row r="260" spans="1:13" x14ac:dyDescent="0.2">
      <c r="A260" s="412" t="s">
        <v>341</v>
      </c>
      <c r="B260" s="413">
        <v>45554</v>
      </c>
      <c r="C260" s="412" t="s">
        <v>827</v>
      </c>
      <c r="D260" s="412" t="s">
        <v>787</v>
      </c>
      <c r="E260" s="414" t="s">
        <v>828</v>
      </c>
      <c r="F260" s="414" t="s">
        <v>828</v>
      </c>
      <c r="G260" s="412" t="s">
        <v>345</v>
      </c>
      <c r="H260" s="412" t="s">
        <v>829</v>
      </c>
      <c r="I260" s="413">
        <v>45554</v>
      </c>
      <c r="J260" s="415">
        <v>454.11</v>
      </c>
      <c r="K260" s="412" t="s">
        <v>5</v>
      </c>
      <c r="L260" s="412" t="s">
        <v>347</v>
      </c>
      <c r="M260" s="412" t="s">
        <v>790</v>
      </c>
    </row>
    <row r="261" spans="1:13" x14ac:dyDescent="0.2">
      <c r="A261" s="412" t="s">
        <v>341</v>
      </c>
      <c r="B261" s="413">
        <v>45554</v>
      </c>
      <c r="C261" s="412" t="s">
        <v>830</v>
      </c>
      <c r="D261" s="412" t="s">
        <v>787</v>
      </c>
      <c r="E261" s="414" t="s">
        <v>831</v>
      </c>
      <c r="F261" s="414" t="s">
        <v>831</v>
      </c>
      <c r="G261" s="412" t="s">
        <v>345</v>
      </c>
      <c r="H261" s="412" t="s">
        <v>832</v>
      </c>
      <c r="I261" s="413">
        <v>45554</v>
      </c>
      <c r="J261" s="415">
        <v>299.75</v>
      </c>
      <c r="K261" s="412" t="s">
        <v>5</v>
      </c>
      <c r="L261" s="412" t="s">
        <v>347</v>
      </c>
      <c r="M261" s="412" t="s">
        <v>790</v>
      </c>
    </row>
    <row r="262" spans="1:13" x14ac:dyDescent="0.2">
      <c r="A262" s="412" t="s">
        <v>341</v>
      </c>
      <c r="B262" s="413">
        <v>45593</v>
      </c>
      <c r="C262" s="412" t="s">
        <v>833</v>
      </c>
      <c r="D262" s="412" t="s">
        <v>787</v>
      </c>
      <c r="E262" s="414" t="s">
        <v>834</v>
      </c>
      <c r="F262" s="414" t="s">
        <v>834</v>
      </c>
      <c r="G262" s="412" t="s">
        <v>345</v>
      </c>
      <c r="H262" s="412" t="s">
        <v>835</v>
      </c>
      <c r="I262" s="413">
        <v>45593</v>
      </c>
      <c r="J262" s="415">
        <v>221.73</v>
      </c>
      <c r="K262" s="412" t="s">
        <v>5</v>
      </c>
      <c r="L262" s="412" t="s">
        <v>347</v>
      </c>
      <c r="M262" s="412" t="s">
        <v>790</v>
      </c>
    </row>
    <row r="263" spans="1:13" x14ac:dyDescent="0.2">
      <c r="A263" s="412" t="s">
        <v>341</v>
      </c>
      <c r="B263" s="413">
        <v>45593</v>
      </c>
      <c r="C263" s="412" t="s">
        <v>836</v>
      </c>
      <c r="D263" s="412" t="s">
        <v>787</v>
      </c>
      <c r="E263" s="414" t="s">
        <v>837</v>
      </c>
      <c r="F263" s="414" t="s">
        <v>837</v>
      </c>
      <c r="G263" s="412" t="s">
        <v>345</v>
      </c>
      <c r="H263" s="412" t="s">
        <v>838</v>
      </c>
      <c r="I263" s="413">
        <v>45593</v>
      </c>
      <c r="J263" s="415">
        <v>383.27</v>
      </c>
      <c r="K263" s="412" t="s">
        <v>5</v>
      </c>
      <c r="L263" s="412" t="s">
        <v>347</v>
      </c>
      <c r="M263" s="412" t="s">
        <v>790</v>
      </c>
    </row>
    <row r="264" spans="1:13" x14ac:dyDescent="0.2">
      <c r="A264" s="412" t="s">
        <v>341</v>
      </c>
      <c r="B264" s="413">
        <v>45593</v>
      </c>
      <c r="C264" s="412" t="s">
        <v>839</v>
      </c>
      <c r="D264" s="412" t="s">
        <v>787</v>
      </c>
      <c r="E264" s="414" t="s">
        <v>840</v>
      </c>
      <c r="F264" s="414" t="s">
        <v>840</v>
      </c>
      <c r="G264" s="412" t="s">
        <v>345</v>
      </c>
      <c r="H264" s="412" t="s">
        <v>841</v>
      </c>
      <c r="I264" s="413">
        <v>45593</v>
      </c>
      <c r="J264" s="415">
        <v>482.43</v>
      </c>
      <c r="K264" s="412" t="s">
        <v>5</v>
      </c>
      <c r="L264" s="412" t="s">
        <v>347</v>
      </c>
      <c r="M264" s="412" t="s">
        <v>790</v>
      </c>
    </row>
    <row r="265" spans="1:13" x14ac:dyDescent="0.2">
      <c r="A265" s="412" t="s">
        <v>341</v>
      </c>
      <c r="B265" s="413">
        <v>45593</v>
      </c>
      <c r="C265" s="412" t="s">
        <v>842</v>
      </c>
      <c r="D265" s="412" t="s">
        <v>787</v>
      </c>
      <c r="E265" s="414" t="s">
        <v>843</v>
      </c>
      <c r="F265" s="414" t="s">
        <v>843</v>
      </c>
      <c r="G265" s="412" t="s">
        <v>345</v>
      </c>
      <c r="H265" s="412" t="s">
        <v>844</v>
      </c>
      <c r="I265" s="413">
        <v>45593</v>
      </c>
      <c r="J265" s="415">
        <v>436.35</v>
      </c>
      <c r="K265" s="412" t="s">
        <v>5</v>
      </c>
      <c r="L265" s="412" t="s">
        <v>347</v>
      </c>
      <c r="M265" s="412" t="s">
        <v>790</v>
      </c>
    </row>
    <row r="266" spans="1:13" x14ac:dyDescent="0.2">
      <c r="A266" s="412" t="s">
        <v>341</v>
      </c>
      <c r="B266" s="413">
        <v>45621</v>
      </c>
      <c r="C266" s="412" t="s">
        <v>845</v>
      </c>
      <c r="D266" s="412" t="s">
        <v>787</v>
      </c>
      <c r="E266" s="414" t="s">
        <v>846</v>
      </c>
      <c r="F266" s="414" t="s">
        <v>846</v>
      </c>
      <c r="G266" s="412" t="s">
        <v>345</v>
      </c>
      <c r="H266" s="412" t="s">
        <v>847</v>
      </c>
      <c r="I266" s="413">
        <v>45621</v>
      </c>
      <c r="J266" s="415">
        <v>708.08</v>
      </c>
      <c r="K266" s="412" t="s">
        <v>5</v>
      </c>
      <c r="L266" s="412" t="s">
        <v>347</v>
      </c>
      <c r="M266" s="412" t="s">
        <v>790</v>
      </c>
    </row>
    <row r="267" spans="1:13" x14ac:dyDescent="0.2">
      <c r="A267" s="412" t="s">
        <v>341</v>
      </c>
      <c r="B267" s="413">
        <v>45621</v>
      </c>
      <c r="C267" s="412" t="s">
        <v>848</v>
      </c>
      <c r="D267" s="412" t="s">
        <v>787</v>
      </c>
      <c r="E267" s="414" t="s">
        <v>849</v>
      </c>
      <c r="F267" s="414" t="s">
        <v>849</v>
      </c>
      <c r="G267" s="412" t="s">
        <v>345</v>
      </c>
      <c r="H267" s="412" t="s">
        <v>850</v>
      </c>
      <c r="I267" s="413">
        <v>45621</v>
      </c>
      <c r="J267" s="415">
        <v>148.83000000000001</v>
      </c>
      <c r="K267" s="412" t="s">
        <v>5</v>
      </c>
      <c r="L267" s="412" t="s">
        <v>347</v>
      </c>
      <c r="M267" s="412" t="s">
        <v>790</v>
      </c>
    </row>
    <row r="268" spans="1:13" x14ac:dyDescent="0.2">
      <c r="A268" s="412" t="s">
        <v>341</v>
      </c>
      <c r="B268" s="413">
        <v>45632</v>
      </c>
      <c r="C268" s="412" t="s">
        <v>851</v>
      </c>
      <c r="D268" s="412" t="s">
        <v>787</v>
      </c>
      <c r="E268" s="414" t="s">
        <v>852</v>
      </c>
      <c r="F268" s="414" t="s">
        <v>852</v>
      </c>
      <c r="G268" s="412" t="s">
        <v>345</v>
      </c>
      <c r="H268" s="412" t="s">
        <v>853</v>
      </c>
      <c r="I268" s="413">
        <v>45632</v>
      </c>
      <c r="J268" s="415">
        <v>214.17</v>
      </c>
      <c r="K268" s="412" t="s">
        <v>5</v>
      </c>
      <c r="L268" s="412" t="s">
        <v>347</v>
      </c>
      <c r="M268" s="412" t="s">
        <v>790</v>
      </c>
    </row>
    <row r="269" spans="1:13" x14ac:dyDescent="0.2">
      <c r="A269" s="412" t="s">
        <v>341</v>
      </c>
      <c r="B269" s="413">
        <v>45632</v>
      </c>
      <c r="C269" s="412" t="s">
        <v>854</v>
      </c>
      <c r="D269" s="412" t="s">
        <v>787</v>
      </c>
      <c r="E269" s="414" t="s">
        <v>855</v>
      </c>
      <c r="F269" s="414" t="s">
        <v>855</v>
      </c>
      <c r="G269" s="412" t="s">
        <v>345</v>
      </c>
      <c r="H269" s="412" t="s">
        <v>856</v>
      </c>
      <c r="I269" s="413">
        <v>45632</v>
      </c>
      <c r="J269" s="415">
        <v>459</v>
      </c>
      <c r="K269" s="412" t="s">
        <v>5</v>
      </c>
      <c r="L269" s="412" t="s">
        <v>347</v>
      </c>
      <c r="M269" s="412" t="s">
        <v>790</v>
      </c>
    </row>
    <row r="270" spans="1:13" x14ac:dyDescent="0.2">
      <c r="A270" s="412" t="s">
        <v>341</v>
      </c>
      <c r="B270" s="413">
        <v>45654</v>
      </c>
      <c r="C270" s="412" t="s">
        <v>857</v>
      </c>
      <c r="D270" s="412" t="s">
        <v>787</v>
      </c>
      <c r="E270" s="414" t="s">
        <v>858</v>
      </c>
      <c r="F270" s="414" t="s">
        <v>858</v>
      </c>
      <c r="G270" s="412" t="s">
        <v>345</v>
      </c>
      <c r="H270" s="412" t="s">
        <v>859</v>
      </c>
      <c r="I270" s="413">
        <v>45654</v>
      </c>
      <c r="J270" s="415">
        <v>503.03</v>
      </c>
      <c r="K270" s="412" t="s">
        <v>5</v>
      </c>
      <c r="L270" s="412" t="s">
        <v>347</v>
      </c>
      <c r="M270" s="412" t="s">
        <v>790</v>
      </c>
    </row>
    <row r="271" spans="1:13" x14ac:dyDescent="0.2">
      <c r="A271" s="412" t="s">
        <v>341</v>
      </c>
      <c r="B271" s="413">
        <v>45654</v>
      </c>
      <c r="C271" s="412" t="s">
        <v>860</v>
      </c>
      <c r="D271" s="412" t="s">
        <v>787</v>
      </c>
      <c r="E271" s="414" t="s">
        <v>861</v>
      </c>
      <c r="F271" s="414" t="s">
        <v>861</v>
      </c>
      <c r="G271" s="412" t="s">
        <v>345</v>
      </c>
      <c r="H271" s="412" t="s">
        <v>862</v>
      </c>
      <c r="I271" s="413">
        <v>45654</v>
      </c>
      <c r="J271" s="415">
        <v>556.37</v>
      </c>
      <c r="K271" s="412" t="s">
        <v>5</v>
      </c>
      <c r="L271" s="412" t="s">
        <v>347</v>
      </c>
      <c r="M271" s="412" t="s">
        <v>790</v>
      </c>
    </row>
    <row r="272" spans="1:13" ht="15" x14ac:dyDescent="0.25">
      <c r="A272" s="337" t="s">
        <v>341</v>
      </c>
      <c r="B272" s="338">
        <v>45362</v>
      </c>
      <c r="C272" s="337" t="s">
        <v>863</v>
      </c>
      <c r="D272" s="337" t="s">
        <v>864</v>
      </c>
      <c r="E272" s="339" t="s">
        <v>865</v>
      </c>
      <c r="F272" s="339" t="s">
        <v>865</v>
      </c>
      <c r="G272" s="337" t="s">
        <v>345</v>
      </c>
      <c r="H272" s="337" t="s">
        <v>866</v>
      </c>
      <c r="I272" s="338">
        <v>45362</v>
      </c>
      <c r="J272" s="340">
        <v>114.18</v>
      </c>
      <c r="K272" s="337" t="s">
        <v>5</v>
      </c>
      <c r="L272" s="337" t="s">
        <v>347</v>
      </c>
      <c r="M272" s="337" t="s">
        <v>790</v>
      </c>
    </row>
    <row r="273" spans="1:13" ht="15" x14ac:dyDescent="0.25">
      <c r="A273" s="337" t="s">
        <v>341</v>
      </c>
      <c r="B273" s="338">
        <v>45384</v>
      </c>
      <c r="C273" s="337" t="s">
        <v>867</v>
      </c>
      <c r="D273" s="337" t="s">
        <v>864</v>
      </c>
      <c r="E273" s="339" t="s">
        <v>868</v>
      </c>
      <c r="F273" s="339" t="s">
        <v>868</v>
      </c>
      <c r="G273" s="337" t="s">
        <v>345</v>
      </c>
      <c r="H273" s="337" t="s">
        <v>869</v>
      </c>
      <c r="I273" s="338">
        <v>45384</v>
      </c>
      <c r="J273" s="340">
        <v>168.38</v>
      </c>
      <c r="K273" s="337" t="s">
        <v>5</v>
      </c>
      <c r="L273" s="337" t="s">
        <v>347</v>
      </c>
      <c r="M273" s="337" t="s">
        <v>790</v>
      </c>
    </row>
    <row r="274" spans="1:13" ht="15.75" thickBot="1" x14ac:dyDescent="0.3">
      <c r="A274" s="337" t="s">
        <v>341</v>
      </c>
      <c r="B274" s="338">
        <v>45580</v>
      </c>
      <c r="C274" s="337" t="s">
        <v>870</v>
      </c>
      <c r="D274" s="337" t="s">
        <v>864</v>
      </c>
      <c r="E274" s="339" t="s">
        <v>871</v>
      </c>
      <c r="F274" s="339" t="s">
        <v>871</v>
      </c>
      <c r="G274" s="337" t="s">
        <v>345</v>
      </c>
      <c r="H274" s="337" t="s">
        <v>872</v>
      </c>
      <c r="I274" s="338">
        <v>45580</v>
      </c>
      <c r="J274" s="340">
        <f>178.79-57.54</f>
        <v>121.25</v>
      </c>
      <c r="K274" s="337" t="s">
        <v>5</v>
      </c>
      <c r="L274" s="337" t="s">
        <v>347</v>
      </c>
      <c r="M274" s="337" t="s">
        <v>790</v>
      </c>
    </row>
    <row r="275" spans="1:13" ht="13.5" thickBot="1" x14ac:dyDescent="0.25">
      <c r="J275" s="418">
        <f>SUM(J247:J274)</f>
        <v>9726.84</v>
      </c>
    </row>
    <row r="278" spans="1:13" x14ac:dyDescent="0.2">
      <c r="A278" s="419" t="s">
        <v>341</v>
      </c>
      <c r="B278" s="420">
        <v>45336</v>
      </c>
      <c r="C278" s="419" t="s">
        <v>873</v>
      </c>
      <c r="D278" s="419" t="s">
        <v>874</v>
      </c>
      <c r="E278" s="421" t="s">
        <v>875</v>
      </c>
      <c r="F278" s="421" t="s">
        <v>875</v>
      </c>
      <c r="G278" s="419" t="s">
        <v>345</v>
      </c>
      <c r="H278" s="419" t="s">
        <v>876</v>
      </c>
      <c r="I278" s="420">
        <v>45336</v>
      </c>
      <c r="J278" s="422">
        <v>1309.07</v>
      </c>
      <c r="K278" s="419" t="s">
        <v>5</v>
      </c>
      <c r="L278" s="419" t="s">
        <v>347</v>
      </c>
      <c r="M278" s="421" t="s">
        <v>877</v>
      </c>
    </row>
    <row r="279" spans="1:13" x14ac:dyDescent="0.2">
      <c r="A279" s="419" t="s">
        <v>341</v>
      </c>
      <c r="B279" s="420">
        <v>45342</v>
      </c>
      <c r="C279" s="419" t="s">
        <v>878</v>
      </c>
      <c r="D279" s="419" t="s">
        <v>879</v>
      </c>
      <c r="E279" s="421" t="s">
        <v>880</v>
      </c>
      <c r="F279" s="421" t="s">
        <v>880</v>
      </c>
      <c r="G279" s="419" t="s">
        <v>345</v>
      </c>
      <c r="H279" s="419" t="s">
        <v>881</v>
      </c>
      <c r="I279" s="420">
        <v>45342</v>
      </c>
      <c r="J279" s="422">
        <v>2626</v>
      </c>
      <c r="K279" s="419" t="s">
        <v>5</v>
      </c>
      <c r="L279" s="419" t="s">
        <v>347</v>
      </c>
      <c r="M279" s="421" t="s">
        <v>877</v>
      </c>
    </row>
    <row r="280" spans="1:13" x14ac:dyDescent="0.2">
      <c r="A280" s="419" t="s">
        <v>341</v>
      </c>
      <c r="B280" s="420">
        <v>45510</v>
      </c>
      <c r="C280" s="419" t="s">
        <v>882</v>
      </c>
      <c r="D280" s="419" t="s">
        <v>879</v>
      </c>
      <c r="E280" s="421" t="s">
        <v>883</v>
      </c>
      <c r="F280" s="421" t="s">
        <v>883</v>
      </c>
      <c r="G280" s="419" t="s">
        <v>345</v>
      </c>
      <c r="H280" s="419" t="s">
        <v>884</v>
      </c>
      <c r="I280" s="420">
        <v>45510</v>
      </c>
      <c r="J280" s="422">
        <v>350.67</v>
      </c>
      <c r="K280" s="419" t="s">
        <v>5</v>
      </c>
      <c r="L280" s="419" t="s">
        <v>347</v>
      </c>
      <c r="M280" s="421" t="s">
        <v>877</v>
      </c>
    </row>
    <row r="281" spans="1:13" x14ac:dyDescent="0.2">
      <c r="A281" s="419" t="s">
        <v>341</v>
      </c>
      <c r="B281" s="420">
        <v>45580</v>
      </c>
      <c r="C281" s="419" t="s">
        <v>885</v>
      </c>
      <c r="D281" s="419" t="s">
        <v>879</v>
      </c>
      <c r="E281" s="421" t="s">
        <v>886</v>
      </c>
      <c r="F281" s="421" t="s">
        <v>886</v>
      </c>
      <c r="G281" s="419" t="s">
        <v>345</v>
      </c>
      <c r="H281" s="419" t="s">
        <v>887</v>
      </c>
      <c r="I281" s="420">
        <v>45580</v>
      </c>
      <c r="J281" s="422">
        <v>548.54</v>
      </c>
      <c r="K281" s="419" t="s">
        <v>5</v>
      </c>
      <c r="L281" s="419" t="s">
        <v>347</v>
      </c>
      <c r="M281" s="421" t="s">
        <v>877</v>
      </c>
    </row>
    <row r="282" spans="1:13" x14ac:dyDescent="0.2">
      <c r="A282" s="419" t="s">
        <v>341</v>
      </c>
      <c r="B282" s="420">
        <v>45603</v>
      </c>
      <c r="C282" s="419" t="s">
        <v>888</v>
      </c>
      <c r="D282" s="419" t="s">
        <v>879</v>
      </c>
      <c r="E282" s="421" t="s">
        <v>889</v>
      </c>
      <c r="F282" s="421" t="s">
        <v>889</v>
      </c>
      <c r="G282" s="419" t="s">
        <v>345</v>
      </c>
      <c r="H282" s="419" t="s">
        <v>890</v>
      </c>
      <c r="I282" s="420">
        <v>45603</v>
      </c>
      <c r="J282" s="422">
        <v>158.43</v>
      </c>
      <c r="K282" s="419" t="s">
        <v>5</v>
      </c>
      <c r="L282" s="419" t="s">
        <v>347</v>
      </c>
      <c r="M282" s="421" t="s">
        <v>877</v>
      </c>
    </row>
    <row r="283" spans="1:13" x14ac:dyDescent="0.2">
      <c r="A283" s="342" t="s">
        <v>347</v>
      </c>
      <c r="B283" s="342" t="s">
        <v>224</v>
      </c>
      <c r="C283" s="342" t="s">
        <v>975</v>
      </c>
      <c r="D283" s="342" t="s">
        <v>976</v>
      </c>
      <c r="E283" s="343" t="s">
        <v>901</v>
      </c>
      <c r="F283" s="344">
        <v>64.569999999999993</v>
      </c>
      <c r="G283" s="342"/>
      <c r="H283" s="342" t="s">
        <v>977</v>
      </c>
      <c r="I283" s="345">
        <v>47</v>
      </c>
      <c r="J283" s="346">
        <v>64.569999999999993</v>
      </c>
      <c r="K283" s="342" t="s">
        <v>978</v>
      </c>
      <c r="L283" s="419" t="s">
        <v>347</v>
      </c>
      <c r="M283" s="346">
        <v>2242</v>
      </c>
    </row>
    <row r="284" spans="1:13" x14ac:dyDescent="0.2">
      <c r="A284" s="342" t="s">
        <v>347</v>
      </c>
      <c r="B284" s="342" t="s">
        <v>224</v>
      </c>
      <c r="C284" s="342" t="s">
        <v>975</v>
      </c>
      <c r="D284" s="342" t="s">
        <v>979</v>
      </c>
      <c r="E284" s="343" t="s">
        <v>227</v>
      </c>
      <c r="F284" s="344">
        <v>60.67</v>
      </c>
      <c r="G284" s="342"/>
      <c r="H284" s="342" t="s">
        <v>980</v>
      </c>
      <c r="I284" s="345">
        <v>47</v>
      </c>
      <c r="J284" s="346">
        <v>60.67</v>
      </c>
      <c r="K284" s="342" t="s">
        <v>978</v>
      </c>
      <c r="L284" s="419" t="s">
        <v>347</v>
      </c>
      <c r="M284" s="346">
        <v>2242</v>
      </c>
    </row>
    <row r="285" spans="1:13" x14ac:dyDescent="0.2">
      <c r="A285" s="342" t="s">
        <v>347</v>
      </c>
      <c r="B285" s="342" t="s">
        <v>224</v>
      </c>
      <c r="C285" s="342" t="s">
        <v>975</v>
      </c>
      <c r="D285" s="342" t="s">
        <v>981</v>
      </c>
      <c r="E285" s="343" t="s">
        <v>969</v>
      </c>
      <c r="F285" s="344">
        <v>58.32</v>
      </c>
      <c r="G285" s="342"/>
      <c r="H285" s="342" t="s">
        <v>980</v>
      </c>
      <c r="I285" s="345">
        <v>47</v>
      </c>
      <c r="J285" s="346">
        <v>58.32</v>
      </c>
      <c r="K285" s="342" t="s">
        <v>982</v>
      </c>
      <c r="L285" s="419" t="s">
        <v>347</v>
      </c>
      <c r="M285" s="346">
        <v>2242</v>
      </c>
    </row>
    <row r="286" spans="1:13" x14ac:dyDescent="0.2">
      <c r="A286" s="342" t="s">
        <v>347</v>
      </c>
      <c r="B286" s="342" t="s">
        <v>224</v>
      </c>
      <c r="C286" s="342" t="s">
        <v>975</v>
      </c>
      <c r="D286" s="342" t="s">
        <v>983</v>
      </c>
      <c r="E286" s="343" t="s">
        <v>225</v>
      </c>
      <c r="F286" s="344">
        <v>888.89</v>
      </c>
      <c r="G286" s="342"/>
      <c r="H286" s="342" t="s">
        <v>977</v>
      </c>
      <c r="I286" s="345">
        <v>47</v>
      </c>
      <c r="J286" s="346">
        <v>888.89</v>
      </c>
      <c r="K286" s="342" t="s">
        <v>984</v>
      </c>
      <c r="L286" s="419" t="s">
        <v>347</v>
      </c>
      <c r="M286" s="346">
        <v>2242</v>
      </c>
    </row>
    <row r="287" spans="1:13" x14ac:dyDescent="0.2">
      <c r="A287" s="342" t="s">
        <v>347</v>
      </c>
      <c r="B287" s="342" t="s">
        <v>224</v>
      </c>
      <c r="C287" s="342" t="s">
        <v>975</v>
      </c>
      <c r="D287" s="342" t="s">
        <v>985</v>
      </c>
      <c r="E287" s="343" t="s">
        <v>227</v>
      </c>
      <c r="F287" s="344">
        <v>284.52</v>
      </c>
      <c r="G287" s="342"/>
      <c r="H287" s="342" t="s">
        <v>980</v>
      </c>
      <c r="I287" s="345">
        <v>47</v>
      </c>
      <c r="J287" s="346">
        <v>284.52</v>
      </c>
      <c r="K287" s="342" t="s">
        <v>986</v>
      </c>
      <c r="L287" s="419" t="s">
        <v>347</v>
      </c>
      <c r="M287" s="346">
        <v>2242</v>
      </c>
    </row>
    <row r="288" spans="1:13" x14ac:dyDescent="0.2">
      <c r="A288" s="342" t="s">
        <v>347</v>
      </c>
      <c r="B288" s="342" t="s">
        <v>224</v>
      </c>
      <c r="C288" s="342" t="s">
        <v>975</v>
      </c>
      <c r="D288" s="342" t="s">
        <v>987</v>
      </c>
      <c r="E288" s="343" t="s">
        <v>223</v>
      </c>
      <c r="F288" s="344">
        <v>420.18</v>
      </c>
      <c r="G288" s="342"/>
      <c r="H288" s="342" t="s">
        <v>980</v>
      </c>
      <c r="I288" s="345">
        <v>47</v>
      </c>
      <c r="J288" s="346">
        <v>420.18</v>
      </c>
      <c r="K288" s="342" t="s">
        <v>984</v>
      </c>
      <c r="L288" s="419" t="s">
        <v>347</v>
      </c>
      <c r="M288" s="346">
        <v>2242</v>
      </c>
    </row>
    <row r="289" spans="1:13" x14ac:dyDescent="0.2">
      <c r="A289" s="342" t="s">
        <v>347</v>
      </c>
      <c r="B289" s="342" t="s">
        <v>224</v>
      </c>
      <c r="C289" s="342" t="s">
        <v>975</v>
      </c>
      <c r="D289" s="342" t="s">
        <v>988</v>
      </c>
      <c r="E289" s="347">
        <v>45534</v>
      </c>
      <c r="F289" s="344">
        <v>536.32000000000005</v>
      </c>
      <c r="G289" s="342"/>
      <c r="H289" s="342" t="s">
        <v>980</v>
      </c>
      <c r="I289" s="345">
        <v>47</v>
      </c>
      <c r="J289" s="346">
        <v>536.32000000000005</v>
      </c>
      <c r="K289" s="342" t="s">
        <v>989</v>
      </c>
      <c r="L289" s="419" t="s">
        <v>347</v>
      </c>
      <c r="M289" s="346">
        <v>2242</v>
      </c>
    </row>
    <row r="290" spans="1:13" ht="13.5" thickBot="1" x14ac:dyDescent="0.25">
      <c r="A290" s="342" t="s">
        <v>347</v>
      </c>
      <c r="B290" s="342" t="s">
        <v>224</v>
      </c>
      <c r="C290" s="342" t="s">
        <v>975</v>
      </c>
      <c r="D290" s="342" t="s">
        <v>990</v>
      </c>
      <c r="E290" s="343" t="s">
        <v>969</v>
      </c>
      <c r="F290" s="344">
        <v>278.76</v>
      </c>
      <c r="G290" s="342"/>
      <c r="H290" s="342" t="s">
        <v>980</v>
      </c>
      <c r="I290" s="345">
        <v>47</v>
      </c>
      <c r="J290" s="348">
        <v>278.76</v>
      </c>
      <c r="K290" s="342" t="s">
        <v>991</v>
      </c>
      <c r="L290" s="419" t="s">
        <v>347</v>
      </c>
      <c r="M290" s="346">
        <v>2242</v>
      </c>
    </row>
    <row r="291" spans="1:13" ht="13.5" thickBot="1" x14ac:dyDescent="0.25">
      <c r="A291" s="349"/>
      <c r="B291" s="349"/>
      <c r="C291" s="349"/>
      <c r="D291" s="349"/>
      <c r="E291" s="350"/>
      <c r="F291" s="351"/>
      <c r="G291" s="349"/>
      <c r="H291" s="349"/>
      <c r="I291" s="352"/>
      <c r="J291" s="353">
        <f>SUM(J278:J290)</f>
        <v>7584.9400000000005</v>
      </c>
      <c r="K291" s="354"/>
      <c r="L291" s="349"/>
      <c r="M291" s="423"/>
    </row>
    <row r="292" spans="1:13" x14ac:dyDescent="0.2">
      <c r="A292" s="423"/>
      <c r="B292" s="424"/>
      <c r="C292" s="423"/>
      <c r="D292" s="423"/>
      <c r="E292" s="425"/>
      <c r="F292" s="425"/>
      <c r="G292" s="423"/>
      <c r="H292" s="423"/>
      <c r="I292" s="424"/>
      <c r="J292" s="426"/>
      <c r="K292" s="423"/>
      <c r="L292" s="423"/>
      <c r="M292" s="423"/>
    </row>
    <row r="294" spans="1:13" x14ac:dyDescent="0.2">
      <c r="A294" s="419" t="s">
        <v>341</v>
      </c>
      <c r="B294" s="420">
        <v>45355</v>
      </c>
      <c r="C294" s="419" t="s">
        <v>892</v>
      </c>
      <c r="D294" s="419" t="s">
        <v>893</v>
      </c>
      <c r="E294" s="421" t="s">
        <v>894</v>
      </c>
      <c r="F294" s="421" t="s">
        <v>894</v>
      </c>
      <c r="G294" s="419" t="s">
        <v>345</v>
      </c>
      <c r="H294" s="419" t="s">
        <v>895</v>
      </c>
      <c r="I294" s="420">
        <v>45355</v>
      </c>
      <c r="J294" s="422">
        <v>553.33000000000004</v>
      </c>
      <c r="K294" s="419" t="s">
        <v>5</v>
      </c>
      <c r="L294" s="419" t="s">
        <v>347</v>
      </c>
      <c r="M294" s="419" t="s">
        <v>891</v>
      </c>
    </row>
    <row r="295" spans="1:13" x14ac:dyDescent="0.2">
      <c r="A295" s="419" t="s">
        <v>341</v>
      </c>
      <c r="B295" s="342" t="s">
        <v>222</v>
      </c>
      <c r="C295" s="342" t="s">
        <v>896</v>
      </c>
      <c r="D295" s="342" t="s">
        <v>897</v>
      </c>
      <c r="E295" s="343" t="s">
        <v>898</v>
      </c>
      <c r="F295" s="344">
        <v>169.21</v>
      </c>
      <c r="G295" s="342"/>
      <c r="H295" s="342" t="s">
        <v>899</v>
      </c>
      <c r="I295" s="344">
        <v>8</v>
      </c>
      <c r="J295" s="346">
        <v>169.21</v>
      </c>
      <c r="K295" s="355" t="s">
        <v>47</v>
      </c>
      <c r="L295" s="419" t="s">
        <v>347</v>
      </c>
      <c r="M295" s="419" t="s">
        <v>891</v>
      </c>
    </row>
    <row r="296" spans="1:13" x14ac:dyDescent="0.2">
      <c r="A296" s="419" t="s">
        <v>341</v>
      </c>
      <c r="B296" s="342" t="s">
        <v>222</v>
      </c>
      <c r="C296" s="342" t="s">
        <v>896</v>
      </c>
      <c r="D296" s="342" t="s">
        <v>900</v>
      </c>
      <c r="E296" s="343" t="s">
        <v>901</v>
      </c>
      <c r="F296" s="344">
        <v>212.25</v>
      </c>
      <c r="G296" s="342"/>
      <c r="H296" s="342" t="s">
        <v>899</v>
      </c>
      <c r="I296" s="344">
        <v>8</v>
      </c>
      <c r="J296" s="346">
        <v>212.25</v>
      </c>
      <c r="K296" s="355" t="s">
        <v>47</v>
      </c>
      <c r="L296" s="419" t="s">
        <v>347</v>
      </c>
      <c r="M296" s="419" t="s">
        <v>891</v>
      </c>
    </row>
    <row r="297" spans="1:13" x14ac:dyDescent="0.2">
      <c r="A297" s="419" t="s">
        <v>341</v>
      </c>
      <c r="B297" s="342" t="s">
        <v>222</v>
      </c>
      <c r="C297" s="342" t="s">
        <v>896</v>
      </c>
      <c r="D297" s="342" t="s">
        <v>902</v>
      </c>
      <c r="E297" s="343" t="s">
        <v>226</v>
      </c>
      <c r="F297" s="344">
        <v>91.1</v>
      </c>
      <c r="G297" s="342"/>
      <c r="H297" s="342" t="s">
        <v>899</v>
      </c>
      <c r="I297" s="344">
        <v>8</v>
      </c>
      <c r="J297" s="346">
        <v>91.1</v>
      </c>
      <c r="K297" s="355" t="s">
        <v>47</v>
      </c>
      <c r="L297" s="419" t="s">
        <v>347</v>
      </c>
      <c r="M297" s="419" t="s">
        <v>891</v>
      </c>
    </row>
    <row r="298" spans="1:13" x14ac:dyDescent="0.2">
      <c r="A298" s="419" t="s">
        <v>341</v>
      </c>
      <c r="B298" s="342" t="s">
        <v>222</v>
      </c>
      <c r="C298" s="342" t="s">
        <v>903</v>
      </c>
      <c r="D298" s="342" t="s">
        <v>904</v>
      </c>
      <c r="E298" s="343" t="s">
        <v>226</v>
      </c>
      <c r="F298" s="344">
        <v>424.78</v>
      </c>
      <c r="G298" s="342"/>
      <c r="H298" s="342" t="s">
        <v>905</v>
      </c>
      <c r="I298" s="344">
        <v>8</v>
      </c>
      <c r="J298" s="346">
        <v>424.78</v>
      </c>
      <c r="K298" s="355" t="s">
        <v>906</v>
      </c>
      <c r="L298" s="419" t="s">
        <v>347</v>
      </c>
      <c r="M298" s="419" t="s">
        <v>891</v>
      </c>
    </row>
    <row r="299" spans="1:13" x14ac:dyDescent="0.2">
      <c r="A299" s="419" t="s">
        <v>341</v>
      </c>
      <c r="B299" s="342" t="s">
        <v>222</v>
      </c>
      <c r="C299" s="342" t="s">
        <v>907</v>
      </c>
      <c r="D299" s="342" t="s">
        <v>908</v>
      </c>
      <c r="E299" s="343" t="s">
        <v>909</v>
      </c>
      <c r="F299" s="344">
        <v>285.66000000000003</v>
      </c>
      <c r="G299" s="342" t="s">
        <v>910</v>
      </c>
      <c r="H299" s="342" t="s">
        <v>911</v>
      </c>
      <c r="I299" s="344">
        <v>8</v>
      </c>
      <c r="J299" s="346">
        <v>285.66000000000003</v>
      </c>
      <c r="K299" s="355" t="s">
        <v>47</v>
      </c>
      <c r="L299" s="419" t="s">
        <v>347</v>
      </c>
      <c r="M299" s="419" t="s">
        <v>891</v>
      </c>
    </row>
    <row r="300" spans="1:13" x14ac:dyDescent="0.2">
      <c r="A300" s="419" t="s">
        <v>341</v>
      </c>
      <c r="B300" s="342" t="s">
        <v>222</v>
      </c>
      <c r="C300" s="342" t="s">
        <v>907</v>
      </c>
      <c r="D300" s="342" t="s">
        <v>908</v>
      </c>
      <c r="E300" s="343" t="s">
        <v>909</v>
      </c>
      <c r="F300" s="344">
        <v>52.14</v>
      </c>
      <c r="G300" s="342"/>
      <c r="H300" s="342" t="s">
        <v>911</v>
      </c>
      <c r="I300" s="344">
        <v>8</v>
      </c>
      <c r="J300" s="346">
        <v>52.14</v>
      </c>
      <c r="K300" s="355" t="s">
        <v>912</v>
      </c>
      <c r="L300" s="419" t="s">
        <v>347</v>
      </c>
      <c r="M300" s="419" t="s">
        <v>891</v>
      </c>
    </row>
    <row r="301" spans="1:13" x14ac:dyDescent="0.2">
      <c r="A301" s="419" t="s">
        <v>341</v>
      </c>
      <c r="B301" s="342" t="s">
        <v>222</v>
      </c>
      <c r="C301" s="342" t="s">
        <v>907</v>
      </c>
      <c r="D301" s="342" t="s">
        <v>914</v>
      </c>
      <c r="E301" s="343" t="s">
        <v>915</v>
      </c>
      <c r="F301" s="344">
        <v>203.2</v>
      </c>
      <c r="G301" s="342"/>
      <c r="H301" s="342" t="s">
        <v>911</v>
      </c>
      <c r="I301" s="344">
        <v>8</v>
      </c>
      <c r="J301" s="346">
        <v>203.2</v>
      </c>
      <c r="K301" s="355" t="s">
        <v>47</v>
      </c>
      <c r="L301" s="419" t="s">
        <v>347</v>
      </c>
      <c r="M301" s="419" t="s">
        <v>891</v>
      </c>
    </row>
    <row r="302" spans="1:13" x14ac:dyDescent="0.2">
      <c r="A302" s="419" t="s">
        <v>341</v>
      </c>
      <c r="B302" s="342" t="s">
        <v>916</v>
      </c>
      <c r="C302" s="342" t="s">
        <v>917</v>
      </c>
      <c r="D302" s="342" t="s">
        <v>918</v>
      </c>
      <c r="E302" s="343" t="s">
        <v>919</v>
      </c>
      <c r="F302" s="344">
        <v>553.33000000000004</v>
      </c>
      <c r="G302" s="342" t="s">
        <v>920</v>
      </c>
      <c r="H302" s="342" t="s">
        <v>921</v>
      </c>
      <c r="I302" s="344">
        <v>8</v>
      </c>
      <c r="J302" s="346">
        <v>553.33000000000004</v>
      </c>
      <c r="K302" s="355" t="s">
        <v>922</v>
      </c>
      <c r="L302" s="419" t="s">
        <v>347</v>
      </c>
      <c r="M302" s="419" t="s">
        <v>891</v>
      </c>
    </row>
    <row r="303" spans="1:13" x14ac:dyDescent="0.2">
      <c r="A303" s="419" t="s">
        <v>341</v>
      </c>
      <c r="B303" s="342" t="s">
        <v>222</v>
      </c>
      <c r="C303" s="342" t="s">
        <v>907</v>
      </c>
      <c r="D303" s="342" t="s">
        <v>923</v>
      </c>
      <c r="E303" s="343" t="s">
        <v>924</v>
      </c>
      <c r="F303" s="344">
        <v>290.95999999999998</v>
      </c>
      <c r="G303" s="342" t="s">
        <v>925</v>
      </c>
      <c r="H303" s="342" t="s">
        <v>911</v>
      </c>
      <c r="I303" s="344">
        <v>8</v>
      </c>
      <c r="J303" s="346">
        <v>290.95999999999998</v>
      </c>
      <c r="K303" s="355" t="s">
        <v>47</v>
      </c>
      <c r="L303" s="419" t="s">
        <v>347</v>
      </c>
      <c r="M303" s="419" t="s">
        <v>891</v>
      </c>
    </row>
    <row r="304" spans="1:13" x14ac:dyDescent="0.2">
      <c r="A304" s="419" t="s">
        <v>341</v>
      </c>
      <c r="B304" s="342" t="s">
        <v>222</v>
      </c>
      <c r="C304" s="342" t="s">
        <v>907</v>
      </c>
      <c r="D304" s="342" t="s">
        <v>926</v>
      </c>
      <c r="E304" s="343" t="s">
        <v>927</v>
      </c>
      <c r="F304" s="344">
        <v>425.75</v>
      </c>
      <c r="G304" s="342" t="s">
        <v>928</v>
      </c>
      <c r="H304" s="342" t="s">
        <v>911</v>
      </c>
      <c r="I304" s="344">
        <v>8</v>
      </c>
      <c r="J304" s="346">
        <v>425.75</v>
      </c>
      <c r="K304" s="355" t="s">
        <v>47</v>
      </c>
      <c r="L304" s="419" t="s">
        <v>347</v>
      </c>
      <c r="M304" s="419" t="s">
        <v>891</v>
      </c>
    </row>
    <row r="305" spans="1:13" x14ac:dyDescent="0.2">
      <c r="A305" s="419" t="s">
        <v>341</v>
      </c>
      <c r="B305" s="342" t="s">
        <v>222</v>
      </c>
      <c r="C305" s="342" t="s">
        <v>907</v>
      </c>
      <c r="D305" s="342" t="s">
        <v>929</v>
      </c>
      <c r="E305" s="343" t="s">
        <v>927</v>
      </c>
      <c r="F305" s="344">
        <v>33.82</v>
      </c>
      <c r="G305" s="342" t="s">
        <v>930</v>
      </c>
      <c r="H305" s="342" t="s">
        <v>911</v>
      </c>
      <c r="I305" s="344">
        <v>8</v>
      </c>
      <c r="J305" s="346">
        <v>33.82</v>
      </c>
      <c r="K305" s="355" t="s">
        <v>47</v>
      </c>
      <c r="L305" s="419" t="s">
        <v>347</v>
      </c>
      <c r="M305" s="419" t="s">
        <v>891</v>
      </c>
    </row>
    <row r="306" spans="1:13" x14ac:dyDescent="0.2">
      <c r="A306" s="419" t="s">
        <v>341</v>
      </c>
      <c r="B306" s="342" t="s">
        <v>222</v>
      </c>
      <c r="C306" s="342" t="s">
        <v>907</v>
      </c>
      <c r="D306" s="342" t="s">
        <v>929</v>
      </c>
      <c r="E306" s="343" t="s">
        <v>927</v>
      </c>
      <c r="F306" s="344">
        <v>7.1</v>
      </c>
      <c r="G306" s="342"/>
      <c r="H306" s="342" t="s">
        <v>911</v>
      </c>
      <c r="I306" s="344">
        <v>8</v>
      </c>
      <c r="J306" s="346">
        <v>7.1</v>
      </c>
      <c r="K306" s="355" t="s">
        <v>931</v>
      </c>
      <c r="L306" s="419" t="s">
        <v>347</v>
      </c>
      <c r="M306" s="419" t="s">
        <v>891</v>
      </c>
    </row>
    <row r="307" spans="1:13" x14ac:dyDescent="0.2">
      <c r="A307" s="419" t="s">
        <v>341</v>
      </c>
      <c r="B307" s="342" t="s">
        <v>222</v>
      </c>
      <c r="C307" s="342" t="s">
        <v>907</v>
      </c>
      <c r="D307" s="342" t="s">
        <v>932</v>
      </c>
      <c r="E307" s="347">
        <v>45400</v>
      </c>
      <c r="F307" s="344">
        <v>84.01</v>
      </c>
      <c r="G307" s="342" t="s">
        <v>933</v>
      </c>
      <c r="H307" s="342" t="s">
        <v>911</v>
      </c>
      <c r="I307" s="344">
        <v>8</v>
      </c>
      <c r="J307" s="346">
        <v>84.01</v>
      </c>
      <c r="K307" s="355" t="s">
        <v>912</v>
      </c>
      <c r="L307" s="419" t="s">
        <v>347</v>
      </c>
      <c r="M307" s="419" t="s">
        <v>891</v>
      </c>
    </row>
    <row r="308" spans="1:13" x14ac:dyDescent="0.2">
      <c r="A308" s="419" t="s">
        <v>341</v>
      </c>
      <c r="B308" s="342" t="s">
        <v>222</v>
      </c>
      <c r="C308" s="342" t="s">
        <v>907</v>
      </c>
      <c r="D308" s="342" t="s">
        <v>932</v>
      </c>
      <c r="E308" s="347">
        <v>45400</v>
      </c>
      <c r="F308" s="344">
        <v>137.59</v>
      </c>
      <c r="G308" s="342"/>
      <c r="H308" s="342" t="s">
        <v>911</v>
      </c>
      <c r="I308" s="344">
        <v>8</v>
      </c>
      <c r="J308" s="346">
        <v>137.59</v>
      </c>
      <c r="K308" s="355" t="s">
        <v>47</v>
      </c>
      <c r="L308" s="419" t="s">
        <v>347</v>
      </c>
      <c r="M308" s="419" t="s">
        <v>891</v>
      </c>
    </row>
    <row r="309" spans="1:13" x14ac:dyDescent="0.2">
      <c r="A309" s="419" t="s">
        <v>341</v>
      </c>
      <c r="B309" s="342" t="s">
        <v>222</v>
      </c>
      <c r="C309" s="342" t="s">
        <v>907</v>
      </c>
      <c r="D309" s="342" t="s">
        <v>934</v>
      </c>
      <c r="E309" s="343" t="s">
        <v>935</v>
      </c>
      <c r="F309" s="344">
        <v>130.38999999999999</v>
      </c>
      <c r="G309" s="342"/>
      <c r="H309" s="342" t="s">
        <v>911</v>
      </c>
      <c r="I309" s="344">
        <v>8</v>
      </c>
      <c r="J309" s="346">
        <v>130.38999999999999</v>
      </c>
      <c r="K309" s="355" t="s">
        <v>47</v>
      </c>
      <c r="L309" s="419" t="s">
        <v>347</v>
      </c>
      <c r="M309" s="419" t="s">
        <v>891</v>
      </c>
    </row>
    <row r="310" spans="1:13" x14ac:dyDescent="0.2">
      <c r="A310" s="419" t="s">
        <v>341</v>
      </c>
      <c r="B310" s="342" t="s">
        <v>222</v>
      </c>
      <c r="C310" s="342" t="s">
        <v>907</v>
      </c>
      <c r="D310" s="342" t="s">
        <v>936</v>
      </c>
      <c r="E310" s="347">
        <v>45432</v>
      </c>
      <c r="F310" s="344">
        <v>17.329999999999998</v>
      </c>
      <c r="G310" s="342"/>
      <c r="H310" s="342" t="s">
        <v>911</v>
      </c>
      <c r="I310" s="344">
        <v>8</v>
      </c>
      <c r="J310" s="346">
        <v>17.329999999999998</v>
      </c>
      <c r="K310" s="355" t="s">
        <v>47</v>
      </c>
      <c r="L310" s="419" t="s">
        <v>347</v>
      </c>
      <c r="M310" s="419" t="s">
        <v>891</v>
      </c>
    </row>
    <row r="311" spans="1:13" x14ac:dyDescent="0.2">
      <c r="A311" s="419" t="s">
        <v>341</v>
      </c>
      <c r="B311" s="342" t="s">
        <v>222</v>
      </c>
      <c r="C311" s="342" t="s">
        <v>907</v>
      </c>
      <c r="D311" s="342" t="s">
        <v>936</v>
      </c>
      <c r="E311" s="347">
        <v>45432</v>
      </c>
      <c r="F311" s="344">
        <v>176.61</v>
      </c>
      <c r="G311" s="342"/>
      <c r="H311" s="342" t="s">
        <v>911</v>
      </c>
      <c r="I311" s="344">
        <v>8</v>
      </c>
      <c r="J311" s="346">
        <v>176.61</v>
      </c>
      <c r="K311" s="355" t="s">
        <v>47</v>
      </c>
      <c r="L311" s="419" t="s">
        <v>347</v>
      </c>
      <c r="M311" s="419" t="s">
        <v>891</v>
      </c>
    </row>
    <row r="312" spans="1:13" x14ac:dyDescent="0.2">
      <c r="A312" s="419" t="s">
        <v>341</v>
      </c>
      <c r="B312" s="342" t="s">
        <v>222</v>
      </c>
      <c r="C312" s="342" t="s">
        <v>907</v>
      </c>
      <c r="D312" s="342" t="s">
        <v>937</v>
      </c>
      <c r="E312" s="347">
        <v>45449</v>
      </c>
      <c r="F312" s="344">
        <v>180.93</v>
      </c>
      <c r="G312" s="342" t="s">
        <v>938</v>
      </c>
      <c r="H312" s="342" t="s">
        <v>911</v>
      </c>
      <c r="I312" s="344">
        <v>8</v>
      </c>
      <c r="J312" s="346">
        <v>180.93</v>
      </c>
      <c r="K312" s="355" t="s">
        <v>47</v>
      </c>
      <c r="L312" s="419" t="s">
        <v>347</v>
      </c>
      <c r="M312" s="419" t="s">
        <v>891</v>
      </c>
    </row>
    <row r="313" spans="1:13" x14ac:dyDescent="0.2">
      <c r="A313" s="419" t="s">
        <v>341</v>
      </c>
      <c r="B313" s="342" t="s">
        <v>222</v>
      </c>
      <c r="C313" s="342" t="s">
        <v>907</v>
      </c>
      <c r="D313" s="342" t="s">
        <v>939</v>
      </c>
      <c r="E313" s="347">
        <v>45461</v>
      </c>
      <c r="F313" s="344">
        <v>72.53</v>
      </c>
      <c r="G313" s="342"/>
      <c r="H313" s="342" t="s">
        <v>911</v>
      </c>
      <c r="I313" s="344">
        <v>8</v>
      </c>
      <c r="J313" s="346">
        <v>72.53</v>
      </c>
      <c r="K313" s="355" t="s">
        <v>47</v>
      </c>
      <c r="L313" s="419" t="s">
        <v>347</v>
      </c>
      <c r="M313" s="419" t="s">
        <v>891</v>
      </c>
    </row>
    <row r="314" spans="1:13" x14ac:dyDescent="0.2">
      <c r="A314" s="427" t="s">
        <v>341</v>
      </c>
      <c r="B314" s="356" t="s">
        <v>222</v>
      </c>
      <c r="C314" s="356" t="s">
        <v>940</v>
      </c>
      <c r="D314" s="356" t="s">
        <v>941</v>
      </c>
      <c r="E314" s="357" t="s">
        <v>942</v>
      </c>
      <c r="F314" s="358">
        <v>5910</v>
      </c>
      <c r="G314" s="356" t="s">
        <v>943</v>
      </c>
      <c r="H314" s="356" t="s">
        <v>944</v>
      </c>
      <c r="I314" s="358">
        <v>8</v>
      </c>
      <c r="J314" s="359">
        <v>5910</v>
      </c>
      <c r="K314" s="360" t="s">
        <v>235</v>
      </c>
      <c r="L314" s="419" t="s">
        <v>347</v>
      </c>
      <c r="M314" s="419" t="s">
        <v>891</v>
      </c>
    </row>
    <row r="315" spans="1:13" x14ac:dyDescent="0.2">
      <c r="A315" s="427" t="s">
        <v>341</v>
      </c>
      <c r="B315" s="356" t="s">
        <v>222</v>
      </c>
      <c r="C315" s="356" t="s">
        <v>940</v>
      </c>
      <c r="D315" s="356" t="s">
        <v>941</v>
      </c>
      <c r="E315" s="357" t="s">
        <v>942</v>
      </c>
      <c r="F315" s="358">
        <v>1241.0999999999999</v>
      </c>
      <c r="G315" s="356"/>
      <c r="H315" s="356" t="s">
        <v>944</v>
      </c>
      <c r="I315" s="358">
        <v>8</v>
      </c>
      <c r="J315" s="359">
        <v>1241.0999999999999</v>
      </c>
      <c r="K315" s="361" t="s">
        <v>945</v>
      </c>
      <c r="L315" s="419" t="s">
        <v>347</v>
      </c>
      <c r="M315" s="419" t="s">
        <v>891</v>
      </c>
    </row>
    <row r="316" spans="1:13" x14ac:dyDescent="0.2">
      <c r="A316" s="427" t="s">
        <v>341</v>
      </c>
      <c r="B316" s="362" t="s">
        <v>222</v>
      </c>
      <c r="C316" s="362" t="s">
        <v>907</v>
      </c>
      <c r="D316" s="362" t="s">
        <v>946</v>
      </c>
      <c r="E316" s="363">
        <v>45504</v>
      </c>
      <c r="F316" s="364">
        <v>72.88</v>
      </c>
      <c r="G316" s="362"/>
      <c r="H316" s="362" t="s">
        <v>911</v>
      </c>
      <c r="I316" s="364">
        <v>8</v>
      </c>
      <c r="J316" s="365">
        <v>72.88</v>
      </c>
      <c r="K316" s="366" t="s">
        <v>47</v>
      </c>
      <c r="L316" s="419" t="s">
        <v>347</v>
      </c>
      <c r="M316" s="419" t="s">
        <v>891</v>
      </c>
    </row>
    <row r="317" spans="1:13" x14ac:dyDescent="0.2">
      <c r="A317" s="427" t="s">
        <v>341</v>
      </c>
      <c r="B317" s="362" t="s">
        <v>222</v>
      </c>
      <c r="C317" s="362" t="s">
        <v>907</v>
      </c>
      <c r="D317" s="362" t="s">
        <v>947</v>
      </c>
      <c r="E317" s="363">
        <v>45504</v>
      </c>
      <c r="F317" s="364">
        <v>145.66</v>
      </c>
      <c r="G317" s="362" t="s">
        <v>948</v>
      </c>
      <c r="H317" s="362" t="s">
        <v>911</v>
      </c>
      <c r="I317" s="364">
        <v>8</v>
      </c>
      <c r="J317" s="365">
        <v>145.66</v>
      </c>
      <c r="K317" s="366" t="s">
        <v>47</v>
      </c>
      <c r="L317" s="419" t="s">
        <v>347</v>
      </c>
      <c r="M317" s="419" t="s">
        <v>891</v>
      </c>
    </row>
    <row r="318" spans="1:13" x14ac:dyDescent="0.2">
      <c r="A318" s="419" t="s">
        <v>341</v>
      </c>
      <c r="B318" s="342" t="s">
        <v>222</v>
      </c>
      <c r="C318" s="342" t="s">
        <v>907</v>
      </c>
      <c r="D318" s="342" t="s">
        <v>949</v>
      </c>
      <c r="E318" s="347">
        <v>45516</v>
      </c>
      <c r="F318" s="344">
        <v>229.8</v>
      </c>
      <c r="G318" s="342"/>
      <c r="H318" s="342" t="s">
        <v>911</v>
      </c>
      <c r="I318" s="344">
        <v>8</v>
      </c>
      <c r="J318" s="346">
        <v>229.8</v>
      </c>
      <c r="K318" s="355" t="s">
        <v>47</v>
      </c>
      <c r="L318" s="419" t="s">
        <v>347</v>
      </c>
      <c r="M318" s="419" t="s">
        <v>891</v>
      </c>
    </row>
    <row r="319" spans="1:13" x14ac:dyDescent="0.2">
      <c r="A319" s="419" t="s">
        <v>341</v>
      </c>
      <c r="B319" s="342" t="s">
        <v>222</v>
      </c>
      <c r="C319" s="342" t="s">
        <v>950</v>
      </c>
      <c r="D319" s="342" t="s">
        <v>951</v>
      </c>
      <c r="E319" s="343" t="s">
        <v>952</v>
      </c>
      <c r="F319" s="344">
        <v>136.61000000000001</v>
      </c>
      <c r="G319" s="342"/>
      <c r="H319" s="342" t="s">
        <v>953</v>
      </c>
      <c r="I319" s="344">
        <v>8</v>
      </c>
      <c r="J319" s="346">
        <v>136.61000000000001</v>
      </c>
      <c r="K319" s="355" t="s">
        <v>47</v>
      </c>
      <c r="L319" s="419" t="s">
        <v>347</v>
      </c>
      <c r="M319" s="419" t="s">
        <v>891</v>
      </c>
    </row>
    <row r="320" spans="1:13" x14ac:dyDescent="0.2">
      <c r="A320" s="419" t="s">
        <v>341</v>
      </c>
      <c r="B320" s="342" t="s">
        <v>222</v>
      </c>
      <c r="C320" s="342" t="s">
        <v>907</v>
      </c>
      <c r="D320" s="342" t="s">
        <v>954</v>
      </c>
      <c r="E320" s="347">
        <v>45532</v>
      </c>
      <c r="F320" s="344">
        <v>153.13999999999999</v>
      </c>
      <c r="G320" s="342"/>
      <c r="H320" s="342" t="s">
        <v>911</v>
      </c>
      <c r="I320" s="344">
        <v>8</v>
      </c>
      <c r="J320" s="346">
        <v>153.13999999999999</v>
      </c>
      <c r="K320" s="355" t="s">
        <v>955</v>
      </c>
      <c r="L320" s="419" t="s">
        <v>347</v>
      </c>
      <c r="M320" s="419" t="s">
        <v>891</v>
      </c>
    </row>
    <row r="321" spans="1:24" x14ac:dyDescent="0.2">
      <c r="A321" s="419" t="s">
        <v>341</v>
      </c>
      <c r="B321" s="342" t="s">
        <v>222</v>
      </c>
      <c r="C321" s="342" t="s">
        <v>907</v>
      </c>
      <c r="D321" s="342" t="s">
        <v>956</v>
      </c>
      <c r="E321" s="343" t="s">
        <v>957</v>
      </c>
      <c r="F321" s="344">
        <v>35.89</v>
      </c>
      <c r="G321" s="342" t="s">
        <v>958</v>
      </c>
      <c r="H321" s="342" t="s">
        <v>911</v>
      </c>
      <c r="I321" s="344">
        <v>8</v>
      </c>
      <c r="J321" s="346">
        <v>35.89</v>
      </c>
      <c r="K321" s="355" t="s">
        <v>47</v>
      </c>
      <c r="L321" s="419" t="s">
        <v>347</v>
      </c>
      <c r="M321" s="419" t="s">
        <v>891</v>
      </c>
    </row>
    <row r="322" spans="1:24" x14ac:dyDescent="0.2">
      <c r="A322" s="419" t="s">
        <v>341</v>
      </c>
      <c r="B322" s="342" t="s">
        <v>222</v>
      </c>
      <c r="C322" s="342" t="s">
        <v>907</v>
      </c>
      <c r="D322" s="342" t="s">
        <v>956</v>
      </c>
      <c r="E322" s="343" t="s">
        <v>957</v>
      </c>
      <c r="F322" s="344">
        <v>7.54</v>
      </c>
      <c r="G322" s="342"/>
      <c r="H322" s="342" t="s">
        <v>911</v>
      </c>
      <c r="I322" s="344">
        <v>8</v>
      </c>
      <c r="J322" s="346">
        <v>7.54</v>
      </c>
      <c r="K322" s="355" t="s">
        <v>959</v>
      </c>
      <c r="L322" s="419" t="s">
        <v>347</v>
      </c>
      <c r="M322" s="419" t="s">
        <v>891</v>
      </c>
    </row>
    <row r="323" spans="1:24" x14ac:dyDescent="0.2">
      <c r="A323" s="419" t="s">
        <v>341</v>
      </c>
      <c r="B323" s="342" t="s">
        <v>222</v>
      </c>
      <c r="C323" s="342" t="s">
        <v>907</v>
      </c>
      <c r="D323" s="342" t="s">
        <v>960</v>
      </c>
      <c r="E323" s="343" t="s">
        <v>957</v>
      </c>
      <c r="F323" s="344">
        <v>535.42999999999995</v>
      </c>
      <c r="G323" s="342"/>
      <c r="H323" s="342" t="s">
        <v>911</v>
      </c>
      <c r="I323" s="344">
        <v>8</v>
      </c>
      <c r="J323" s="346">
        <v>535.42999999999995</v>
      </c>
      <c r="K323" s="355" t="s">
        <v>47</v>
      </c>
      <c r="L323" s="419" t="s">
        <v>347</v>
      </c>
      <c r="M323" s="419" t="s">
        <v>891</v>
      </c>
    </row>
    <row r="324" spans="1:24" x14ac:dyDescent="0.2">
      <c r="A324" s="419" t="s">
        <v>341</v>
      </c>
      <c r="B324" s="342" t="s">
        <v>222</v>
      </c>
      <c r="C324" s="342" t="s">
        <v>907</v>
      </c>
      <c r="D324" s="342" t="s">
        <v>961</v>
      </c>
      <c r="E324" s="343" t="s">
        <v>962</v>
      </c>
      <c r="F324" s="344">
        <v>231.8</v>
      </c>
      <c r="G324" s="342"/>
      <c r="H324" s="342" t="s">
        <v>911</v>
      </c>
      <c r="I324" s="344">
        <v>8</v>
      </c>
      <c r="J324" s="346">
        <v>231.8</v>
      </c>
      <c r="K324" s="355" t="s">
        <v>47</v>
      </c>
      <c r="L324" s="419" t="s">
        <v>347</v>
      </c>
      <c r="M324" s="419" t="s">
        <v>891</v>
      </c>
    </row>
    <row r="325" spans="1:24" x14ac:dyDescent="0.2">
      <c r="A325" s="419" t="s">
        <v>341</v>
      </c>
      <c r="B325" s="342" t="s">
        <v>222</v>
      </c>
      <c r="C325" s="342" t="s">
        <v>913</v>
      </c>
      <c r="D325" s="342" t="s">
        <v>963</v>
      </c>
      <c r="E325" s="347">
        <v>45596</v>
      </c>
      <c r="F325" s="344">
        <v>158.43</v>
      </c>
      <c r="G325" s="342"/>
      <c r="H325" s="342" t="s">
        <v>964</v>
      </c>
      <c r="I325" s="344">
        <v>8</v>
      </c>
      <c r="J325" s="346">
        <v>158.43</v>
      </c>
      <c r="K325" s="355" t="s">
        <v>965</v>
      </c>
      <c r="L325" s="419" t="s">
        <v>347</v>
      </c>
      <c r="M325" s="419" t="s">
        <v>891</v>
      </c>
    </row>
    <row r="326" spans="1:24" x14ac:dyDescent="0.2">
      <c r="A326" s="419" t="s">
        <v>341</v>
      </c>
      <c r="B326" s="342" t="s">
        <v>222</v>
      </c>
      <c r="C326" s="342" t="s">
        <v>907</v>
      </c>
      <c r="D326" s="342" t="s">
        <v>966</v>
      </c>
      <c r="E326" s="343" t="s">
        <v>967</v>
      </c>
      <c r="F326" s="344">
        <v>371.14</v>
      </c>
      <c r="G326" s="342"/>
      <c r="H326" s="342" t="s">
        <v>911</v>
      </c>
      <c r="I326" s="344">
        <v>8</v>
      </c>
      <c r="J326" s="346">
        <v>371.14</v>
      </c>
      <c r="K326" s="355" t="s">
        <v>47</v>
      </c>
      <c r="L326" s="419" t="s">
        <v>347</v>
      </c>
      <c r="M326" s="419" t="s">
        <v>891</v>
      </c>
    </row>
    <row r="327" spans="1:24" x14ac:dyDescent="0.2">
      <c r="A327" s="419" t="s">
        <v>341</v>
      </c>
      <c r="B327" s="342" t="s">
        <v>222</v>
      </c>
      <c r="C327" s="342" t="s">
        <v>907</v>
      </c>
      <c r="D327" s="342" t="s">
        <v>968</v>
      </c>
      <c r="E327" s="343" t="s">
        <v>969</v>
      </c>
      <c r="F327" s="344">
        <v>131.08000000000001</v>
      </c>
      <c r="G327" s="342"/>
      <c r="H327" s="342" t="s">
        <v>911</v>
      </c>
      <c r="I327" s="344">
        <v>8</v>
      </c>
      <c r="J327" s="346">
        <v>131.08000000000001</v>
      </c>
      <c r="K327" s="355" t="s">
        <v>47</v>
      </c>
      <c r="L327" s="419" t="s">
        <v>347</v>
      </c>
      <c r="M327" s="419" t="s">
        <v>891</v>
      </c>
    </row>
    <row r="328" spans="1:24" ht="13.5" thickBot="1" x14ac:dyDescent="0.25">
      <c r="A328" s="419" t="s">
        <v>341</v>
      </c>
      <c r="B328" s="342" t="s">
        <v>222</v>
      </c>
      <c r="C328" s="342" t="s">
        <v>907</v>
      </c>
      <c r="D328" s="342" t="s">
        <v>970</v>
      </c>
      <c r="E328" s="343" t="s">
        <v>971</v>
      </c>
      <c r="F328" s="344">
        <v>404.31</v>
      </c>
      <c r="G328" s="342"/>
      <c r="H328" s="342" t="s">
        <v>911</v>
      </c>
      <c r="I328" s="344">
        <v>8</v>
      </c>
      <c r="J328" s="348">
        <v>404.31</v>
      </c>
      <c r="K328" s="355" t="s">
        <v>47</v>
      </c>
      <c r="L328" s="419" t="s">
        <v>347</v>
      </c>
      <c r="M328" s="419" t="s">
        <v>891</v>
      </c>
    </row>
    <row r="329" spans="1:24" ht="13.5" thickBot="1" x14ac:dyDescent="0.25">
      <c r="J329" s="416">
        <f>SUM(J294:J328)</f>
        <v>13866.829999999998</v>
      </c>
    </row>
    <row r="332" spans="1:24" ht="15" x14ac:dyDescent="0.25">
      <c r="A332" s="337" t="s">
        <v>1001</v>
      </c>
      <c r="B332" s="337" t="s">
        <v>1002</v>
      </c>
      <c r="C332" s="337" t="s">
        <v>1003</v>
      </c>
      <c r="D332" s="337" t="s">
        <v>1004</v>
      </c>
      <c r="E332" s="337" t="s">
        <v>1005</v>
      </c>
      <c r="F332" s="338">
        <v>37986</v>
      </c>
      <c r="G332" s="338">
        <v>71344</v>
      </c>
      <c r="H332" s="337" t="s">
        <v>992</v>
      </c>
      <c r="I332" s="428">
        <v>1</v>
      </c>
      <c r="J332" s="340">
        <v>21935.85</v>
      </c>
      <c r="K332" s="340">
        <v>6672.9</v>
      </c>
      <c r="L332" s="340">
        <v>15262.95</v>
      </c>
      <c r="M332" s="337" t="s">
        <v>1006</v>
      </c>
      <c r="N332" s="337" t="s">
        <v>993</v>
      </c>
      <c r="O332" s="337" t="s">
        <v>994</v>
      </c>
      <c r="P332" s="337" t="s">
        <v>995</v>
      </c>
      <c r="Q332" s="337"/>
      <c r="R332" s="337" t="s">
        <v>996</v>
      </c>
      <c r="S332" s="337"/>
      <c r="T332" s="337" t="s">
        <v>997</v>
      </c>
      <c r="U332" s="337"/>
      <c r="V332" s="337" t="s">
        <v>996</v>
      </c>
      <c r="W332" s="429">
        <v>45901</v>
      </c>
      <c r="X332" s="430">
        <v>219.36</v>
      </c>
    </row>
    <row r="333" spans="1:24" ht="15" x14ac:dyDescent="0.25">
      <c r="A333" s="337" t="s">
        <v>1001</v>
      </c>
      <c r="B333" s="337" t="s">
        <v>1002</v>
      </c>
      <c r="C333" s="337" t="s">
        <v>1007</v>
      </c>
      <c r="D333" s="337" t="s">
        <v>1008</v>
      </c>
      <c r="E333" s="337" t="s">
        <v>1009</v>
      </c>
      <c r="F333" s="338">
        <v>41771</v>
      </c>
      <c r="G333" s="338">
        <v>47269</v>
      </c>
      <c r="H333" s="337" t="s">
        <v>992</v>
      </c>
      <c r="I333" s="428">
        <v>1</v>
      </c>
      <c r="J333" s="340">
        <v>60278.03</v>
      </c>
      <c r="K333" s="340">
        <v>45561.58</v>
      </c>
      <c r="L333" s="340">
        <v>14716.45</v>
      </c>
      <c r="M333" s="337" t="s">
        <v>1006</v>
      </c>
      <c r="N333" s="337" t="s">
        <v>993</v>
      </c>
      <c r="O333" s="337" t="s">
        <v>994</v>
      </c>
      <c r="P333" s="337" t="s">
        <v>995</v>
      </c>
      <c r="Q333" s="337" t="s">
        <v>1010</v>
      </c>
      <c r="R333" s="337" t="s">
        <v>996</v>
      </c>
      <c r="S333" s="337" t="s">
        <v>1010</v>
      </c>
      <c r="T333" s="337" t="s">
        <v>997</v>
      </c>
      <c r="U333" s="337" t="s">
        <v>1011</v>
      </c>
      <c r="V333" s="337" t="s">
        <v>996</v>
      </c>
      <c r="W333" s="429">
        <v>45901</v>
      </c>
      <c r="X333" s="430">
        <v>4013.64</v>
      </c>
    </row>
    <row r="334" spans="1:24" ht="15" x14ac:dyDescent="0.25">
      <c r="A334" s="337" t="s">
        <v>1001</v>
      </c>
      <c r="B334" s="337" t="s">
        <v>1002</v>
      </c>
      <c r="C334" s="337" t="s">
        <v>1012</v>
      </c>
      <c r="D334" s="337" t="s">
        <v>1013</v>
      </c>
      <c r="E334" s="337" t="s">
        <v>1012</v>
      </c>
      <c r="F334" s="338">
        <v>41260</v>
      </c>
      <c r="G334" s="338">
        <v>48579</v>
      </c>
      <c r="H334" s="337" t="s">
        <v>992</v>
      </c>
      <c r="I334" s="428">
        <v>1</v>
      </c>
      <c r="J334" s="340">
        <v>2561.17</v>
      </c>
      <c r="K334" s="340">
        <v>1633.76</v>
      </c>
      <c r="L334" s="340">
        <v>927.41</v>
      </c>
      <c r="M334" s="337" t="s">
        <v>1006</v>
      </c>
      <c r="N334" s="337" t="s">
        <v>993</v>
      </c>
      <c r="O334" s="337" t="s">
        <v>994</v>
      </c>
      <c r="P334" s="337" t="s">
        <v>995</v>
      </c>
      <c r="Q334" s="337" t="s">
        <v>1014</v>
      </c>
      <c r="R334" s="337" t="s">
        <v>996</v>
      </c>
      <c r="S334" s="337" t="s">
        <v>1014</v>
      </c>
      <c r="T334" s="337" t="s">
        <v>997</v>
      </c>
      <c r="U334" s="337"/>
      <c r="V334" s="337" t="s">
        <v>996</v>
      </c>
      <c r="W334" s="429">
        <v>45901</v>
      </c>
      <c r="X334" s="430">
        <v>127.92</v>
      </c>
    </row>
    <row r="335" spans="1:24" ht="15" x14ac:dyDescent="0.25">
      <c r="A335" s="337" t="s">
        <v>1001</v>
      </c>
      <c r="B335" s="337" t="s">
        <v>1002</v>
      </c>
      <c r="C335" s="337" t="s">
        <v>1015</v>
      </c>
      <c r="D335" s="337" t="s">
        <v>1016</v>
      </c>
      <c r="E335" s="337" t="s">
        <v>1015</v>
      </c>
      <c r="F335" s="338">
        <v>41260</v>
      </c>
      <c r="G335" s="338">
        <v>48579</v>
      </c>
      <c r="H335" s="337" t="s">
        <v>992</v>
      </c>
      <c r="I335" s="428">
        <v>1</v>
      </c>
      <c r="J335" s="340">
        <v>2048.94</v>
      </c>
      <c r="K335" s="340">
        <v>1306.5</v>
      </c>
      <c r="L335" s="340">
        <v>742.44</v>
      </c>
      <c r="M335" s="337" t="s">
        <v>1006</v>
      </c>
      <c r="N335" s="337" t="s">
        <v>993</v>
      </c>
      <c r="O335" s="337" t="s">
        <v>994</v>
      </c>
      <c r="P335" s="337" t="s">
        <v>995</v>
      </c>
      <c r="Q335" s="337" t="s">
        <v>998</v>
      </c>
      <c r="R335" s="337" t="s">
        <v>996</v>
      </c>
      <c r="S335" s="337" t="s">
        <v>998</v>
      </c>
      <c r="T335" s="337" t="s">
        <v>997</v>
      </c>
      <c r="U335" s="337"/>
      <c r="V335" s="337" t="s">
        <v>996</v>
      </c>
      <c r="W335" s="429">
        <v>45901</v>
      </c>
      <c r="X335" s="430">
        <v>102.36</v>
      </c>
    </row>
    <row r="336" spans="1:24" ht="15" x14ac:dyDescent="0.25">
      <c r="A336" s="337" t="s">
        <v>1001</v>
      </c>
      <c r="B336" s="337" t="s">
        <v>1002</v>
      </c>
      <c r="C336" s="337" t="s">
        <v>1017</v>
      </c>
      <c r="D336" s="337" t="s">
        <v>1018</v>
      </c>
      <c r="E336" s="337" t="s">
        <v>1017</v>
      </c>
      <c r="F336" s="338">
        <v>41260</v>
      </c>
      <c r="G336" s="338">
        <v>48579</v>
      </c>
      <c r="H336" s="337" t="s">
        <v>992</v>
      </c>
      <c r="I336" s="428">
        <v>1</v>
      </c>
      <c r="J336" s="340">
        <v>1086.18</v>
      </c>
      <c r="K336" s="340">
        <v>693.11</v>
      </c>
      <c r="L336" s="340">
        <v>393.07</v>
      </c>
      <c r="M336" s="337" t="s">
        <v>1006</v>
      </c>
      <c r="N336" s="337" t="s">
        <v>993</v>
      </c>
      <c r="O336" s="337" t="s">
        <v>994</v>
      </c>
      <c r="P336" s="337" t="s">
        <v>995</v>
      </c>
      <c r="Q336" s="337" t="s">
        <v>1000</v>
      </c>
      <c r="R336" s="337" t="s">
        <v>996</v>
      </c>
      <c r="S336" s="337" t="s">
        <v>1000</v>
      </c>
      <c r="T336" s="337" t="s">
        <v>997</v>
      </c>
      <c r="U336" s="337"/>
      <c r="V336" s="337" t="s">
        <v>996</v>
      </c>
      <c r="W336" s="429">
        <v>45901</v>
      </c>
      <c r="X336" s="430">
        <v>54.24</v>
      </c>
    </row>
    <row r="337" spans="1:24" ht="15" x14ac:dyDescent="0.25">
      <c r="A337" s="337" t="s">
        <v>1001</v>
      </c>
      <c r="B337" s="337" t="s">
        <v>1002</v>
      </c>
      <c r="C337" s="337" t="s">
        <v>1019</v>
      </c>
      <c r="D337" s="337" t="s">
        <v>1020</v>
      </c>
      <c r="E337" s="337" t="s">
        <v>1019</v>
      </c>
      <c r="F337" s="338">
        <v>41260</v>
      </c>
      <c r="G337" s="338">
        <v>48548</v>
      </c>
      <c r="H337" s="337" t="s">
        <v>992</v>
      </c>
      <c r="I337" s="428">
        <v>1</v>
      </c>
      <c r="J337" s="340">
        <v>850</v>
      </c>
      <c r="K337" s="340">
        <v>543.25</v>
      </c>
      <c r="L337" s="340">
        <v>306.75</v>
      </c>
      <c r="M337" s="337" t="s">
        <v>1006</v>
      </c>
      <c r="N337" s="337" t="s">
        <v>993</v>
      </c>
      <c r="O337" s="337" t="s">
        <v>994</v>
      </c>
      <c r="P337" s="337" t="s">
        <v>995</v>
      </c>
      <c r="Q337" s="337"/>
      <c r="R337" s="337" t="s">
        <v>996</v>
      </c>
      <c r="S337" s="337"/>
      <c r="T337" s="337" t="s">
        <v>997</v>
      </c>
      <c r="U337" s="337"/>
      <c r="V337" s="337" t="s">
        <v>996</v>
      </c>
      <c r="W337" s="429">
        <v>45901</v>
      </c>
      <c r="X337" s="430">
        <v>42.84</v>
      </c>
    </row>
    <row r="338" spans="1:24" ht="15" x14ac:dyDescent="0.25">
      <c r="A338" s="337" t="s">
        <v>1001</v>
      </c>
      <c r="B338" s="337" t="s">
        <v>1002</v>
      </c>
      <c r="C338" s="337" t="s">
        <v>1021</v>
      </c>
      <c r="D338" s="337" t="s">
        <v>1022</v>
      </c>
      <c r="E338" s="337" t="s">
        <v>1021</v>
      </c>
      <c r="F338" s="338">
        <v>41260</v>
      </c>
      <c r="G338" s="338">
        <v>48579</v>
      </c>
      <c r="H338" s="337" t="s">
        <v>992</v>
      </c>
      <c r="I338" s="428">
        <v>1</v>
      </c>
      <c r="J338" s="340">
        <v>355.11</v>
      </c>
      <c r="K338" s="340">
        <v>226.44</v>
      </c>
      <c r="L338" s="340">
        <v>128.66999999999999</v>
      </c>
      <c r="M338" s="337" t="s">
        <v>1006</v>
      </c>
      <c r="N338" s="337" t="s">
        <v>993</v>
      </c>
      <c r="O338" s="337" t="s">
        <v>994</v>
      </c>
      <c r="P338" s="337" t="s">
        <v>995</v>
      </c>
      <c r="Q338" s="337"/>
      <c r="R338" s="337" t="s">
        <v>996</v>
      </c>
      <c r="S338" s="337"/>
      <c r="T338" s="337" t="s">
        <v>997</v>
      </c>
      <c r="U338" s="337"/>
      <c r="V338" s="337" t="s">
        <v>996</v>
      </c>
      <c r="W338" s="429">
        <v>45901</v>
      </c>
      <c r="X338" s="430">
        <v>17.760000000000002</v>
      </c>
    </row>
    <row r="339" spans="1:24" ht="15" x14ac:dyDescent="0.25">
      <c r="A339" s="337" t="s">
        <v>1001</v>
      </c>
      <c r="B339" s="337" t="s">
        <v>1002</v>
      </c>
      <c r="C339" s="337" t="s">
        <v>1023</v>
      </c>
      <c r="D339" s="337" t="s">
        <v>1024</v>
      </c>
      <c r="E339" s="337" t="s">
        <v>1023</v>
      </c>
      <c r="F339" s="338">
        <v>41260</v>
      </c>
      <c r="G339" s="338">
        <v>48548</v>
      </c>
      <c r="H339" s="337" t="s">
        <v>992</v>
      </c>
      <c r="I339" s="428">
        <v>1</v>
      </c>
      <c r="J339" s="340">
        <v>453.9</v>
      </c>
      <c r="K339" s="340">
        <v>290.61</v>
      </c>
      <c r="L339" s="340">
        <v>163.29</v>
      </c>
      <c r="M339" s="337" t="s">
        <v>1006</v>
      </c>
      <c r="N339" s="337" t="s">
        <v>993</v>
      </c>
      <c r="O339" s="337" t="s">
        <v>994</v>
      </c>
      <c r="P339" s="337" t="s">
        <v>995</v>
      </c>
      <c r="Q339" s="337" t="s">
        <v>1025</v>
      </c>
      <c r="R339" s="337" t="s">
        <v>996</v>
      </c>
      <c r="S339" s="337" t="s">
        <v>1025</v>
      </c>
      <c r="T339" s="337" t="s">
        <v>997</v>
      </c>
      <c r="U339" s="337"/>
      <c r="V339" s="337" t="s">
        <v>996</v>
      </c>
      <c r="W339" s="429">
        <v>45901</v>
      </c>
      <c r="X339" s="430">
        <v>22.8</v>
      </c>
    </row>
    <row r="340" spans="1:24" ht="15" x14ac:dyDescent="0.25">
      <c r="A340" s="337" t="s">
        <v>1001</v>
      </c>
      <c r="B340" s="337" t="s">
        <v>1002</v>
      </c>
      <c r="C340" s="337" t="s">
        <v>1026</v>
      </c>
      <c r="D340" s="337" t="s">
        <v>1027</v>
      </c>
      <c r="E340" s="337" t="s">
        <v>1026</v>
      </c>
      <c r="F340" s="338">
        <v>41260</v>
      </c>
      <c r="G340" s="338">
        <v>48548</v>
      </c>
      <c r="H340" s="337" t="s">
        <v>992</v>
      </c>
      <c r="I340" s="428">
        <v>1</v>
      </c>
      <c r="J340" s="340">
        <v>499.61</v>
      </c>
      <c r="K340" s="340">
        <v>319.79000000000002</v>
      </c>
      <c r="L340" s="340">
        <v>179.82</v>
      </c>
      <c r="M340" s="337" t="s">
        <v>1006</v>
      </c>
      <c r="N340" s="337" t="s">
        <v>993</v>
      </c>
      <c r="O340" s="337" t="s">
        <v>994</v>
      </c>
      <c r="P340" s="337" t="s">
        <v>995</v>
      </c>
      <c r="Q340" s="337" t="s">
        <v>1028</v>
      </c>
      <c r="R340" s="337" t="s">
        <v>996</v>
      </c>
      <c r="S340" s="337" t="s">
        <v>1028</v>
      </c>
      <c r="T340" s="337" t="s">
        <v>997</v>
      </c>
      <c r="U340" s="337"/>
      <c r="V340" s="337" t="s">
        <v>996</v>
      </c>
      <c r="W340" s="429">
        <v>45901</v>
      </c>
      <c r="X340" s="430">
        <v>25.08</v>
      </c>
    </row>
    <row r="341" spans="1:24" ht="15" x14ac:dyDescent="0.25">
      <c r="A341" s="337" t="s">
        <v>1030</v>
      </c>
      <c r="B341" s="337" t="s">
        <v>1031</v>
      </c>
      <c r="C341" s="337" t="s">
        <v>1035</v>
      </c>
      <c r="D341" s="337" t="s">
        <v>1036</v>
      </c>
      <c r="E341" s="337" t="s">
        <v>1035</v>
      </c>
      <c r="F341" s="338">
        <v>43682</v>
      </c>
      <c r="G341" s="338">
        <v>47361</v>
      </c>
      <c r="H341" s="337" t="s">
        <v>992</v>
      </c>
      <c r="I341" s="428">
        <v>1</v>
      </c>
      <c r="J341" s="340">
        <v>901.55</v>
      </c>
      <c r="K341" s="340">
        <v>548.78</v>
      </c>
      <c r="L341" s="340">
        <v>352.77</v>
      </c>
      <c r="M341" s="337" t="s">
        <v>1032</v>
      </c>
      <c r="N341" s="337" t="s">
        <v>993</v>
      </c>
      <c r="O341" s="337" t="s">
        <v>994</v>
      </c>
      <c r="P341" s="337" t="s">
        <v>995</v>
      </c>
      <c r="Q341" s="337"/>
      <c r="R341" s="337"/>
      <c r="S341" s="337"/>
      <c r="T341" s="337" t="s">
        <v>1029</v>
      </c>
      <c r="U341" s="337"/>
      <c r="V341" s="337"/>
      <c r="W341" s="429">
        <v>45901</v>
      </c>
      <c r="X341" s="430">
        <v>90</v>
      </c>
    </row>
    <row r="342" spans="1:24" ht="15" x14ac:dyDescent="0.25">
      <c r="A342" s="337" t="s">
        <v>1030</v>
      </c>
      <c r="B342" s="337" t="s">
        <v>1031</v>
      </c>
      <c r="C342" s="337" t="s">
        <v>1037</v>
      </c>
      <c r="D342" s="337" t="s">
        <v>1036</v>
      </c>
      <c r="E342" s="337" t="s">
        <v>1037</v>
      </c>
      <c r="F342" s="338">
        <v>43682</v>
      </c>
      <c r="G342" s="338">
        <v>47361</v>
      </c>
      <c r="H342" s="337" t="s">
        <v>992</v>
      </c>
      <c r="I342" s="428">
        <v>1</v>
      </c>
      <c r="J342" s="340">
        <v>901.55</v>
      </c>
      <c r="K342" s="340">
        <v>548.78</v>
      </c>
      <c r="L342" s="340">
        <v>352.77</v>
      </c>
      <c r="M342" s="337" t="s">
        <v>1032</v>
      </c>
      <c r="N342" s="337" t="s">
        <v>993</v>
      </c>
      <c r="O342" s="337" t="s">
        <v>994</v>
      </c>
      <c r="P342" s="337" t="s">
        <v>995</v>
      </c>
      <c r="Q342" s="337"/>
      <c r="R342" s="337"/>
      <c r="S342" s="337"/>
      <c r="T342" s="337" t="s">
        <v>1029</v>
      </c>
      <c r="U342" s="337"/>
      <c r="V342" s="337"/>
      <c r="W342" s="429">
        <v>45901</v>
      </c>
      <c r="X342" s="430">
        <v>90</v>
      </c>
    </row>
    <row r="343" spans="1:24" ht="15" x14ac:dyDescent="0.25">
      <c r="A343" s="337" t="s">
        <v>1030</v>
      </c>
      <c r="B343" s="337" t="s">
        <v>1031</v>
      </c>
      <c r="C343" s="337" t="s">
        <v>1038</v>
      </c>
      <c r="D343" s="337" t="s">
        <v>1036</v>
      </c>
      <c r="E343" s="337" t="s">
        <v>1038</v>
      </c>
      <c r="F343" s="338">
        <v>43682</v>
      </c>
      <c r="G343" s="338">
        <v>47361</v>
      </c>
      <c r="H343" s="337" t="s">
        <v>992</v>
      </c>
      <c r="I343" s="428">
        <v>1</v>
      </c>
      <c r="J343" s="340">
        <v>901.55</v>
      </c>
      <c r="K343" s="340">
        <v>548.78</v>
      </c>
      <c r="L343" s="340">
        <v>352.77</v>
      </c>
      <c r="M343" s="337" t="s">
        <v>1032</v>
      </c>
      <c r="N343" s="337" t="s">
        <v>993</v>
      </c>
      <c r="O343" s="337" t="s">
        <v>994</v>
      </c>
      <c r="P343" s="337" t="s">
        <v>995</v>
      </c>
      <c r="Q343" s="337"/>
      <c r="R343" s="337"/>
      <c r="S343" s="337"/>
      <c r="T343" s="337" t="s">
        <v>1029</v>
      </c>
      <c r="U343" s="337"/>
      <c r="V343" s="337"/>
      <c r="W343" s="429">
        <v>45901</v>
      </c>
      <c r="X343" s="430">
        <v>90</v>
      </c>
    </row>
    <row r="344" spans="1:24" ht="15" x14ac:dyDescent="0.25">
      <c r="A344" s="337" t="s">
        <v>1030</v>
      </c>
      <c r="B344" s="337" t="s">
        <v>1031</v>
      </c>
      <c r="C344" s="337" t="s">
        <v>1039</v>
      </c>
      <c r="D344" s="337" t="s">
        <v>1040</v>
      </c>
      <c r="E344" s="337" t="s">
        <v>1039</v>
      </c>
      <c r="F344" s="338">
        <v>43446</v>
      </c>
      <c r="G344" s="338">
        <v>47118</v>
      </c>
      <c r="H344" s="337" t="s">
        <v>992</v>
      </c>
      <c r="I344" s="428">
        <v>1</v>
      </c>
      <c r="J344" s="340">
        <v>6438.29</v>
      </c>
      <c r="K344" s="340">
        <v>4346.28</v>
      </c>
      <c r="L344" s="340">
        <v>2092.0100000000002</v>
      </c>
      <c r="M344" s="337" t="s">
        <v>1032</v>
      </c>
      <c r="N344" s="337" t="s">
        <v>993</v>
      </c>
      <c r="O344" s="337" t="s">
        <v>994</v>
      </c>
      <c r="P344" s="337" t="s">
        <v>995</v>
      </c>
      <c r="Q344" s="337"/>
      <c r="R344" s="337"/>
      <c r="S344" s="337"/>
      <c r="T344" s="337" t="s">
        <v>1029</v>
      </c>
      <c r="U344" s="337"/>
      <c r="V344" s="337"/>
      <c r="W344" s="429">
        <v>45901</v>
      </c>
      <c r="X344" s="430">
        <v>643.67999999999995</v>
      </c>
    </row>
    <row r="345" spans="1:24" ht="15" x14ac:dyDescent="0.25">
      <c r="A345" s="337" t="s">
        <v>1042</v>
      </c>
      <c r="B345" s="337" t="s">
        <v>1043</v>
      </c>
      <c r="C345" s="337" t="s">
        <v>1044</v>
      </c>
      <c r="D345" s="337" t="s">
        <v>1045</v>
      </c>
      <c r="E345" s="337" t="s">
        <v>1044</v>
      </c>
      <c r="F345" s="338">
        <v>43701</v>
      </c>
      <c r="G345" s="338">
        <v>47361</v>
      </c>
      <c r="H345" s="337" t="s">
        <v>992</v>
      </c>
      <c r="I345" s="428">
        <v>1</v>
      </c>
      <c r="J345" s="340">
        <v>15990</v>
      </c>
      <c r="K345" s="340">
        <v>9727.25</v>
      </c>
      <c r="L345" s="340">
        <v>6262.75</v>
      </c>
      <c r="M345" s="337" t="s">
        <v>1046</v>
      </c>
      <c r="N345" s="337" t="s">
        <v>993</v>
      </c>
      <c r="O345" s="337" t="s">
        <v>994</v>
      </c>
      <c r="P345" s="337" t="s">
        <v>1041</v>
      </c>
      <c r="Q345" s="337"/>
      <c r="R345" s="337"/>
      <c r="S345" s="337"/>
      <c r="T345" s="337" t="s">
        <v>1029</v>
      </c>
      <c r="U345" s="337"/>
      <c r="V345" s="337"/>
      <c r="W345" s="429">
        <v>45901</v>
      </c>
      <c r="X345" s="430">
        <v>1599</v>
      </c>
    </row>
    <row r="346" spans="1:24" ht="15" x14ac:dyDescent="0.25">
      <c r="A346" s="337" t="s">
        <v>1042</v>
      </c>
      <c r="B346" s="337" t="s">
        <v>1043</v>
      </c>
      <c r="C346" s="337" t="s">
        <v>1047</v>
      </c>
      <c r="D346" s="337" t="s">
        <v>1048</v>
      </c>
      <c r="E346" s="337" t="s">
        <v>1049</v>
      </c>
      <c r="F346" s="338">
        <v>42709</v>
      </c>
      <c r="G346" s="338">
        <v>46387</v>
      </c>
      <c r="H346" s="337" t="s">
        <v>992</v>
      </c>
      <c r="I346" s="428">
        <v>1</v>
      </c>
      <c r="J346" s="340">
        <v>22040.49</v>
      </c>
      <c r="K346" s="340">
        <v>19285.95</v>
      </c>
      <c r="L346" s="340">
        <v>2754.54</v>
      </c>
      <c r="M346" s="337" t="s">
        <v>1046</v>
      </c>
      <c r="N346" s="337" t="s">
        <v>993</v>
      </c>
      <c r="O346" s="337" t="s">
        <v>994</v>
      </c>
      <c r="P346" s="337" t="s">
        <v>1033</v>
      </c>
      <c r="Q346" s="337"/>
      <c r="R346" s="337"/>
      <c r="S346" s="337"/>
      <c r="T346" s="337" t="s">
        <v>1029</v>
      </c>
      <c r="U346" s="337"/>
      <c r="V346" s="337"/>
      <c r="W346" s="429">
        <v>45901</v>
      </c>
      <c r="X346" s="430">
        <v>2203.56</v>
      </c>
    </row>
    <row r="347" spans="1:24" ht="15" x14ac:dyDescent="0.25">
      <c r="A347" s="337" t="s">
        <v>1042</v>
      </c>
      <c r="B347" s="337" t="s">
        <v>1043</v>
      </c>
      <c r="C347" s="337" t="s">
        <v>1050</v>
      </c>
      <c r="D347" s="337" t="s">
        <v>1051</v>
      </c>
      <c r="E347" s="337" t="s">
        <v>991</v>
      </c>
      <c r="F347" s="338">
        <v>42677</v>
      </c>
      <c r="G347" s="338">
        <v>46356</v>
      </c>
      <c r="H347" s="337" t="s">
        <v>992</v>
      </c>
      <c r="I347" s="428">
        <v>1</v>
      </c>
      <c r="J347" s="340">
        <v>16479.34</v>
      </c>
      <c r="K347" s="340">
        <v>14556.89</v>
      </c>
      <c r="L347" s="340">
        <v>1922.45</v>
      </c>
      <c r="M347" s="337" t="s">
        <v>1046</v>
      </c>
      <c r="N347" s="337" t="s">
        <v>993</v>
      </c>
      <c r="O347" s="337" t="s">
        <v>994</v>
      </c>
      <c r="P347" s="337" t="s">
        <v>994</v>
      </c>
      <c r="Q347" s="337"/>
      <c r="R347" s="337"/>
      <c r="S347" s="337"/>
      <c r="T347" s="337" t="s">
        <v>1029</v>
      </c>
      <c r="U347" s="337"/>
      <c r="V347" s="337"/>
      <c r="W347" s="429">
        <v>45901</v>
      </c>
      <c r="X347" s="430">
        <v>1647.84</v>
      </c>
    </row>
    <row r="348" spans="1:24" ht="15" x14ac:dyDescent="0.25">
      <c r="A348" s="337" t="s">
        <v>1001</v>
      </c>
      <c r="B348" s="337" t="s">
        <v>1002</v>
      </c>
      <c r="C348" s="337" t="s">
        <v>1052</v>
      </c>
      <c r="D348" s="337" t="s">
        <v>1053</v>
      </c>
      <c r="E348" s="337" t="s">
        <v>1052</v>
      </c>
      <c r="F348" s="338">
        <v>44579</v>
      </c>
      <c r="G348" s="338">
        <v>48273</v>
      </c>
      <c r="H348" s="337" t="s">
        <v>992</v>
      </c>
      <c r="I348" s="428">
        <v>1</v>
      </c>
      <c r="J348" s="340">
        <v>5251</v>
      </c>
      <c r="K348" s="340">
        <v>1878.01</v>
      </c>
      <c r="L348" s="340">
        <v>3372.99</v>
      </c>
      <c r="M348" s="337" t="s">
        <v>1006</v>
      </c>
      <c r="N348" s="337" t="s">
        <v>993</v>
      </c>
      <c r="O348" s="337" t="s">
        <v>994</v>
      </c>
      <c r="P348" s="337" t="s">
        <v>999</v>
      </c>
      <c r="Q348" s="337" t="s">
        <v>1054</v>
      </c>
      <c r="R348" s="337"/>
      <c r="S348" s="337" t="s">
        <v>1054</v>
      </c>
      <c r="T348" s="337" t="s">
        <v>997</v>
      </c>
      <c r="U348" s="337"/>
      <c r="V348" s="337"/>
      <c r="W348" s="429">
        <v>45901</v>
      </c>
      <c r="X348" s="430">
        <v>525.6</v>
      </c>
    </row>
    <row r="349" spans="1:24" ht="15" x14ac:dyDescent="0.25">
      <c r="A349" s="337" t="s">
        <v>1001</v>
      </c>
      <c r="B349" s="337" t="s">
        <v>1002</v>
      </c>
      <c r="C349" s="337" t="s">
        <v>1055</v>
      </c>
      <c r="D349" s="337" t="s">
        <v>1056</v>
      </c>
      <c r="E349" s="337" t="s">
        <v>1055</v>
      </c>
      <c r="F349" s="338">
        <v>44531</v>
      </c>
      <c r="G349" s="338">
        <v>50010</v>
      </c>
      <c r="H349" s="337" t="s">
        <v>992</v>
      </c>
      <c r="I349" s="428">
        <v>1</v>
      </c>
      <c r="J349" s="340">
        <v>0</v>
      </c>
      <c r="K349" s="340">
        <v>0</v>
      </c>
      <c r="L349" s="340">
        <v>0</v>
      </c>
      <c r="M349" s="337" t="s">
        <v>1006</v>
      </c>
      <c r="N349" s="337" t="s">
        <v>993</v>
      </c>
      <c r="O349" s="337" t="s">
        <v>994</v>
      </c>
      <c r="P349" s="337" t="s">
        <v>999</v>
      </c>
      <c r="Q349" s="337" t="s">
        <v>1057</v>
      </c>
      <c r="R349" s="337" t="s">
        <v>1057</v>
      </c>
      <c r="S349" s="337" t="s">
        <v>1057</v>
      </c>
      <c r="T349" s="337" t="s">
        <v>997</v>
      </c>
      <c r="U349" s="337" t="s">
        <v>1058</v>
      </c>
      <c r="V349" s="337" t="s">
        <v>1057</v>
      </c>
      <c r="W349" s="429">
        <v>45627</v>
      </c>
      <c r="X349" s="430">
        <v>0</v>
      </c>
    </row>
    <row r="350" spans="1:24" ht="15" x14ac:dyDescent="0.25">
      <c r="A350" s="337" t="s">
        <v>1001</v>
      </c>
      <c r="B350" s="337" t="s">
        <v>1002</v>
      </c>
      <c r="C350" s="337" t="s">
        <v>1059</v>
      </c>
      <c r="D350" s="337" t="s">
        <v>1060</v>
      </c>
      <c r="E350" s="337" t="s">
        <v>1059</v>
      </c>
      <c r="F350" s="338">
        <v>43682</v>
      </c>
      <c r="G350" s="338">
        <v>47361</v>
      </c>
      <c r="H350" s="337" t="s">
        <v>992</v>
      </c>
      <c r="I350" s="428">
        <v>1</v>
      </c>
      <c r="J350" s="340">
        <v>1179.75</v>
      </c>
      <c r="K350" s="340">
        <v>718.14</v>
      </c>
      <c r="L350" s="340">
        <v>461.61</v>
      </c>
      <c r="M350" s="337" t="s">
        <v>1006</v>
      </c>
      <c r="N350" s="337" t="s">
        <v>993</v>
      </c>
      <c r="O350" s="337" t="s">
        <v>994</v>
      </c>
      <c r="P350" s="337" t="s">
        <v>995</v>
      </c>
      <c r="Q350" s="337" t="s">
        <v>1061</v>
      </c>
      <c r="R350" s="337" t="s">
        <v>1062</v>
      </c>
      <c r="S350" s="337" t="s">
        <v>1061</v>
      </c>
      <c r="T350" s="337" t="s">
        <v>997</v>
      </c>
      <c r="U350" s="337"/>
      <c r="V350" s="337" t="s">
        <v>1062</v>
      </c>
      <c r="W350" s="429">
        <v>45901</v>
      </c>
      <c r="X350" s="430">
        <v>117.84</v>
      </c>
    </row>
    <row r="351" spans="1:24" ht="15" x14ac:dyDescent="0.25">
      <c r="A351" s="337" t="s">
        <v>1001</v>
      </c>
      <c r="B351" s="337" t="s">
        <v>1002</v>
      </c>
      <c r="C351" s="337" t="s">
        <v>1063</v>
      </c>
      <c r="D351" s="337" t="s">
        <v>1064</v>
      </c>
      <c r="E351" s="337" t="s">
        <v>1063</v>
      </c>
      <c r="F351" s="338">
        <v>43655</v>
      </c>
      <c r="G351" s="338">
        <v>49156</v>
      </c>
      <c r="H351" s="337" t="s">
        <v>992</v>
      </c>
      <c r="I351" s="428">
        <v>1</v>
      </c>
      <c r="J351" s="340">
        <v>10229.69</v>
      </c>
      <c r="K351" s="340">
        <v>4206.07</v>
      </c>
      <c r="L351" s="340">
        <v>6023.62</v>
      </c>
      <c r="M351" s="337" t="s">
        <v>1006</v>
      </c>
      <c r="N351" s="337" t="s">
        <v>993</v>
      </c>
      <c r="O351" s="337" t="s">
        <v>994</v>
      </c>
      <c r="P351" s="337" t="s">
        <v>995</v>
      </c>
      <c r="Q351" s="337" t="s">
        <v>996</v>
      </c>
      <c r="R351" s="337" t="s">
        <v>996</v>
      </c>
      <c r="S351" s="337" t="s">
        <v>996</v>
      </c>
      <c r="T351" s="337" t="s">
        <v>997</v>
      </c>
      <c r="U351" s="337" t="s">
        <v>1065</v>
      </c>
      <c r="V351" s="337" t="s">
        <v>996</v>
      </c>
      <c r="W351" s="429">
        <v>45901</v>
      </c>
      <c r="X351" s="430">
        <v>681.96</v>
      </c>
    </row>
    <row r="352" spans="1:24" ht="15" x14ac:dyDescent="0.25">
      <c r="A352" s="337" t="s">
        <v>1001</v>
      </c>
      <c r="B352" s="337" t="s">
        <v>1002</v>
      </c>
      <c r="C352" s="337" t="s">
        <v>1066</v>
      </c>
      <c r="D352" s="337" t="s">
        <v>1067</v>
      </c>
      <c r="E352" s="337" t="s">
        <v>1066</v>
      </c>
      <c r="F352" s="338">
        <v>42348</v>
      </c>
      <c r="G352" s="338">
        <v>47848</v>
      </c>
      <c r="H352" s="337" t="s">
        <v>992</v>
      </c>
      <c r="I352" s="428">
        <v>1</v>
      </c>
      <c r="J352" s="340">
        <v>11862.07</v>
      </c>
      <c r="K352" s="340">
        <v>7714.08</v>
      </c>
      <c r="L352" s="340">
        <v>4147.99</v>
      </c>
      <c r="M352" s="337" t="s">
        <v>1006</v>
      </c>
      <c r="N352" s="337" t="s">
        <v>993</v>
      </c>
      <c r="O352" s="337" t="s">
        <v>994</v>
      </c>
      <c r="P352" s="337" t="s">
        <v>995</v>
      </c>
      <c r="Q352" s="337" t="s">
        <v>1068</v>
      </c>
      <c r="R352" s="337"/>
      <c r="S352" s="337" t="s">
        <v>1068</v>
      </c>
      <c r="T352" s="337" t="s">
        <v>997</v>
      </c>
      <c r="U352" s="337" t="s">
        <v>1069</v>
      </c>
      <c r="V352" s="337"/>
      <c r="W352" s="429">
        <v>45901</v>
      </c>
      <c r="X352" s="430">
        <v>790.08</v>
      </c>
    </row>
    <row r="353" spans="1:24" ht="15" x14ac:dyDescent="0.25">
      <c r="A353" s="337" t="s">
        <v>1001</v>
      </c>
      <c r="B353" s="337" t="s">
        <v>1002</v>
      </c>
      <c r="C353" s="337" t="s">
        <v>1071</v>
      </c>
      <c r="D353" s="337" t="s">
        <v>1072</v>
      </c>
      <c r="E353" s="337" t="s">
        <v>1071</v>
      </c>
      <c r="F353" s="338">
        <v>42338</v>
      </c>
      <c r="G353" s="338">
        <v>47817</v>
      </c>
      <c r="H353" s="337" t="s">
        <v>992</v>
      </c>
      <c r="I353" s="428">
        <v>1</v>
      </c>
      <c r="J353" s="340">
        <v>24784.37</v>
      </c>
      <c r="K353" s="340">
        <v>16254.06</v>
      </c>
      <c r="L353" s="340">
        <v>8530.31</v>
      </c>
      <c r="M353" s="337" t="s">
        <v>1006</v>
      </c>
      <c r="N353" s="337" t="s">
        <v>993</v>
      </c>
      <c r="O353" s="337" t="s">
        <v>994</v>
      </c>
      <c r="P353" s="337" t="s">
        <v>999</v>
      </c>
      <c r="Q353" s="337" t="s">
        <v>1073</v>
      </c>
      <c r="R353" s="337" t="s">
        <v>1074</v>
      </c>
      <c r="S353" s="337" t="s">
        <v>1073</v>
      </c>
      <c r="T353" s="337" t="s">
        <v>997</v>
      </c>
      <c r="U353" s="337" t="s">
        <v>1070</v>
      </c>
      <c r="V353" s="337" t="s">
        <v>1074</v>
      </c>
      <c r="W353" s="429">
        <v>45901</v>
      </c>
      <c r="X353" s="430">
        <v>1650.96</v>
      </c>
    </row>
    <row r="354" spans="1:24" ht="15" x14ac:dyDescent="0.25">
      <c r="A354" s="337" t="s">
        <v>1001</v>
      </c>
      <c r="B354" s="337" t="s">
        <v>1002</v>
      </c>
      <c r="C354" s="337" t="s">
        <v>1075</v>
      </c>
      <c r="D354" s="337" t="s">
        <v>1076</v>
      </c>
      <c r="E354" s="337" t="s">
        <v>1075</v>
      </c>
      <c r="F354" s="338">
        <v>42338</v>
      </c>
      <c r="G354" s="338">
        <v>47817</v>
      </c>
      <c r="H354" s="337" t="s">
        <v>992</v>
      </c>
      <c r="I354" s="428">
        <v>1</v>
      </c>
      <c r="J354" s="340">
        <v>20722.310000000001</v>
      </c>
      <c r="K354" s="340">
        <v>13590.89</v>
      </c>
      <c r="L354" s="340">
        <v>7131.42</v>
      </c>
      <c r="M354" s="337" t="s">
        <v>1006</v>
      </c>
      <c r="N354" s="337" t="s">
        <v>993</v>
      </c>
      <c r="O354" s="337" t="s">
        <v>994</v>
      </c>
      <c r="P354" s="337" t="s">
        <v>995</v>
      </c>
      <c r="Q354" s="337" t="s">
        <v>1077</v>
      </c>
      <c r="R354" s="337" t="s">
        <v>1074</v>
      </c>
      <c r="S354" s="337" t="s">
        <v>1077</v>
      </c>
      <c r="T354" s="337" t="s">
        <v>997</v>
      </c>
      <c r="U354" s="337" t="s">
        <v>1070</v>
      </c>
      <c r="V354" s="337" t="s">
        <v>1074</v>
      </c>
      <c r="W354" s="429">
        <v>45901</v>
      </c>
      <c r="X354" s="430">
        <v>1380.24</v>
      </c>
    </row>
    <row r="355" spans="1:24" ht="15" x14ac:dyDescent="0.25">
      <c r="A355" s="337" t="s">
        <v>1001</v>
      </c>
      <c r="B355" s="337" t="s">
        <v>1002</v>
      </c>
      <c r="C355" s="337" t="s">
        <v>1078</v>
      </c>
      <c r="D355" s="337" t="s">
        <v>1079</v>
      </c>
      <c r="E355" s="337" t="s">
        <v>1078</v>
      </c>
      <c r="F355" s="338">
        <v>42338</v>
      </c>
      <c r="G355" s="338">
        <v>47817</v>
      </c>
      <c r="H355" s="337" t="s">
        <v>992</v>
      </c>
      <c r="I355" s="428">
        <v>1</v>
      </c>
      <c r="J355" s="340">
        <v>37632.68</v>
      </c>
      <c r="K355" s="340">
        <v>24680.720000000001</v>
      </c>
      <c r="L355" s="340">
        <v>12951.96</v>
      </c>
      <c r="M355" s="337" t="s">
        <v>1006</v>
      </c>
      <c r="N355" s="337" t="s">
        <v>993</v>
      </c>
      <c r="O355" s="337" t="s">
        <v>994</v>
      </c>
      <c r="P355" s="337" t="s">
        <v>995</v>
      </c>
      <c r="Q355" s="337" t="s">
        <v>996</v>
      </c>
      <c r="R355" s="337" t="s">
        <v>996</v>
      </c>
      <c r="S355" s="337" t="s">
        <v>996</v>
      </c>
      <c r="T355" s="337" t="s">
        <v>997</v>
      </c>
      <c r="U355" s="337" t="s">
        <v>1070</v>
      </c>
      <c r="V355" s="337" t="s">
        <v>996</v>
      </c>
      <c r="W355" s="429">
        <v>45901</v>
      </c>
      <c r="X355" s="430">
        <v>2506.8000000000002</v>
      </c>
    </row>
    <row r="356" spans="1:24" ht="15" x14ac:dyDescent="0.25">
      <c r="A356" s="337" t="s">
        <v>1001</v>
      </c>
      <c r="B356" s="337" t="s">
        <v>1002</v>
      </c>
      <c r="C356" s="337" t="s">
        <v>1080</v>
      </c>
      <c r="D356" s="337" t="s">
        <v>1081</v>
      </c>
      <c r="E356" s="337" t="s">
        <v>1080</v>
      </c>
      <c r="F356" s="338">
        <v>42338</v>
      </c>
      <c r="G356" s="338">
        <v>47817</v>
      </c>
      <c r="H356" s="337" t="s">
        <v>992</v>
      </c>
      <c r="I356" s="428">
        <v>1</v>
      </c>
      <c r="J356" s="340">
        <v>10318.6</v>
      </c>
      <c r="K356" s="340">
        <v>6767.67</v>
      </c>
      <c r="L356" s="340">
        <v>3550.93</v>
      </c>
      <c r="M356" s="337" t="s">
        <v>1006</v>
      </c>
      <c r="N356" s="337" t="s">
        <v>993</v>
      </c>
      <c r="O356" s="337" t="s">
        <v>994</v>
      </c>
      <c r="P356" s="337" t="s">
        <v>995</v>
      </c>
      <c r="Q356" s="337" t="s">
        <v>1074</v>
      </c>
      <c r="R356" s="337" t="s">
        <v>1074</v>
      </c>
      <c r="S356" s="337" t="s">
        <v>1074</v>
      </c>
      <c r="T356" s="337" t="s">
        <v>997</v>
      </c>
      <c r="U356" s="337" t="s">
        <v>1070</v>
      </c>
      <c r="V356" s="337" t="s">
        <v>1074</v>
      </c>
      <c r="W356" s="429">
        <v>45901</v>
      </c>
      <c r="X356" s="430">
        <v>687.24</v>
      </c>
    </row>
    <row r="357" spans="1:24" ht="15" x14ac:dyDescent="0.25">
      <c r="A357" s="337" t="s">
        <v>1001</v>
      </c>
      <c r="B357" s="337" t="s">
        <v>1002</v>
      </c>
      <c r="C357" s="337" t="s">
        <v>1082</v>
      </c>
      <c r="D357" s="337" t="s">
        <v>1083</v>
      </c>
      <c r="E357" s="337" t="s">
        <v>1084</v>
      </c>
      <c r="F357" s="338">
        <v>41635</v>
      </c>
      <c r="G357" s="338">
        <v>48944</v>
      </c>
      <c r="H357" s="337" t="s">
        <v>992</v>
      </c>
      <c r="I357" s="428">
        <v>1</v>
      </c>
      <c r="J357" s="340">
        <v>119340.66</v>
      </c>
      <c r="K357" s="340">
        <v>70113.48</v>
      </c>
      <c r="L357" s="340">
        <v>49227.18</v>
      </c>
      <c r="M357" s="337" t="s">
        <v>1006</v>
      </c>
      <c r="N357" s="337" t="s">
        <v>993</v>
      </c>
      <c r="O357" s="337" t="s">
        <v>994</v>
      </c>
      <c r="P357" s="337" t="s">
        <v>995</v>
      </c>
      <c r="Q357" s="337" t="s">
        <v>1085</v>
      </c>
      <c r="R357" s="337" t="s">
        <v>996</v>
      </c>
      <c r="S357" s="337" t="s">
        <v>1085</v>
      </c>
      <c r="T357" s="337" t="s">
        <v>997</v>
      </c>
      <c r="U357" s="337" t="s">
        <v>1086</v>
      </c>
      <c r="V357" s="337" t="s">
        <v>996</v>
      </c>
      <c r="W357" s="429">
        <v>45901</v>
      </c>
      <c r="X357" s="430">
        <v>5966.88</v>
      </c>
    </row>
    <row r="358" spans="1:24" ht="15" x14ac:dyDescent="0.25">
      <c r="A358" s="337" t="s">
        <v>1030</v>
      </c>
      <c r="B358" s="337" t="s">
        <v>1031</v>
      </c>
      <c r="C358" s="337" t="s">
        <v>1091</v>
      </c>
      <c r="D358" s="337" t="s">
        <v>1092</v>
      </c>
      <c r="E358" s="337" t="s">
        <v>1091</v>
      </c>
      <c r="F358" s="338">
        <v>44552</v>
      </c>
      <c r="G358" s="338">
        <v>48213</v>
      </c>
      <c r="H358" s="337" t="s">
        <v>992</v>
      </c>
      <c r="I358" s="428">
        <v>1</v>
      </c>
      <c r="J358" s="340">
        <v>533.85</v>
      </c>
      <c r="K358" s="340">
        <v>182.18</v>
      </c>
      <c r="L358" s="340">
        <v>351.67</v>
      </c>
      <c r="M358" s="337" t="s">
        <v>1032</v>
      </c>
      <c r="N358" s="337" t="s">
        <v>993</v>
      </c>
      <c r="O358" s="337" t="s">
        <v>994</v>
      </c>
      <c r="P358" s="337" t="s">
        <v>994</v>
      </c>
      <c r="Q358" s="337"/>
      <c r="R358" s="337"/>
      <c r="S358" s="337"/>
      <c r="T358" s="337" t="s">
        <v>1034</v>
      </c>
      <c r="U358" s="337"/>
      <c r="V358" s="337"/>
      <c r="W358" s="429">
        <v>45901</v>
      </c>
      <c r="X358" s="430">
        <v>56.28</v>
      </c>
    </row>
    <row r="359" spans="1:24" ht="15" x14ac:dyDescent="0.25">
      <c r="A359" s="337" t="s">
        <v>1030</v>
      </c>
      <c r="B359" s="337" t="s">
        <v>1031</v>
      </c>
      <c r="C359" s="337" t="s">
        <v>1093</v>
      </c>
      <c r="D359" s="337" t="s">
        <v>1094</v>
      </c>
      <c r="E359" s="337" t="s">
        <v>1093</v>
      </c>
      <c r="F359" s="338">
        <v>44552</v>
      </c>
      <c r="G359" s="338">
        <v>48213</v>
      </c>
      <c r="H359" s="337" t="s">
        <v>992</v>
      </c>
      <c r="I359" s="428">
        <v>1</v>
      </c>
      <c r="J359" s="340">
        <v>3367.19</v>
      </c>
      <c r="K359" s="340">
        <v>1149.06</v>
      </c>
      <c r="L359" s="340">
        <v>2218.13</v>
      </c>
      <c r="M359" s="337" t="s">
        <v>1032</v>
      </c>
      <c r="N359" s="337" t="s">
        <v>993</v>
      </c>
      <c r="O359" s="337" t="s">
        <v>994</v>
      </c>
      <c r="P359" s="337" t="s">
        <v>1041</v>
      </c>
      <c r="Q359" s="337"/>
      <c r="R359" s="337"/>
      <c r="S359" s="337"/>
      <c r="T359" s="337" t="s">
        <v>1029</v>
      </c>
      <c r="U359" s="337"/>
      <c r="V359" s="337"/>
      <c r="W359" s="429">
        <v>45901</v>
      </c>
      <c r="X359" s="430">
        <v>354.96</v>
      </c>
    </row>
    <row r="360" spans="1:24" ht="15" x14ac:dyDescent="0.25">
      <c r="A360" s="337" t="s">
        <v>1030</v>
      </c>
      <c r="B360" s="337" t="s">
        <v>1031</v>
      </c>
      <c r="C360" s="337" t="s">
        <v>1095</v>
      </c>
      <c r="D360" s="337" t="s">
        <v>1096</v>
      </c>
      <c r="E360" s="337" t="s">
        <v>1095</v>
      </c>
      <c r="F360" s="338">
        <v>44552</v>
      </c>
      <c r="G360" s="338">
        <v>48213</v>
      </c>
      <c r="H360" s="337" t="s">
        <v>992</v>
      </c>
      <c r="I360" s="428">
        <v>1</v>
      </c>
      <c r="J360" s="340">
        <v>3144.49</v>
      </c>
      <c r="K360" s="340">
        <v>1072.93</v>
      </c>
      <c r="L360" s="340">
        <v>2071.56</v>
      </c>
      <c r="M360" s="337" t="s">
        <v>1032</v>
      </c>
      <c r="N360" s="337" t="s">
        <v>993</v>
      </c>
      <c r="O360" s="337" t="s">
        <v>994</v>
      </c>
      <c r="P360" s="337" t="s">
        <v>1041</v>
      </c>
      <c r="Q360" s="337"/>
      <c r="R360" s="337"/>
      <c r="S360" s="337"/>
      <c r="T360" s="337" t="s">
        <v>1034</v>
      </c>
      <c r="U360" s="337"/>
      <c r="V360" s="337"/>
      <c r="W360" s="429">
        <v>45901</v>
      </c>
      <c r="X360" s="430">
        <v>331.44</v>
      </c>
    </row>
    <row r="361" spans="1:24" ht="15" x14ac:dyDescent="0.25">
      <c r="A361" s="337" t="s">
        <v>1030</v>
      </c>
      <c r="B361" s="337" t="s">
        <v>1031</v>
      </c>
      <c r="C361" s="337" t="s">
        <v>1097</v>
      </c>
      <c r="D361" s="337" t="s">
        <v>1098</v>
      </c>
      <c r="E361" s="337" t="s">
        <v>1097</v>
      </c>
      <c r="F361" s="338">
        <v>44547</v>
      </c>
      <c r="G361" s="338">
        <v>48213</v>
      </c>
      <c r="H361" s="337" t="s">
        <v>992</v>
      </c>
      <c r="I361" s="428">
        <v>1</v>
      </c>
      <c r="J361" s="340">
        <v>2420</v>
      </c>
      <c r="K361" s="340">
        <v>907.65</v>
      </c>
      <c r="L361" s="340">
        <v>1512.35</v>
      </c>
      <c r="M361" s="337" t="s">
        <v>1032</v>
      </c>
      <c r="N361" s="337" t="s">
        <v>993</v>
      </c>
      <c r="O361" s="337" t="s">
        <v>994</v>
      </c>
      <c r="P361" s="337" t="s">
        <v>1041</v>
      </c>
      <c r="Q361" s="337"/>
      <c r="R361" s="337"/>
      <c r="S361" s="337"/>
      <c r="T361" s="337" t="s">
        <v>1034</v>
      </c>
      <c r="U361" s="337"/>
      <c r="V361" s="337"/>
      <c r="W361" s="429">
        <v>45901</v>
      </c>
      <c r="X361" s="430">
        <v>242.04</v>
      </c>
    </row>
    <row r="362" spans="1:24" ht="15" x14ac:dyDescent="0.25">
      <c r="A362" s="337" t="s">
        <v>1030</v>
      </c>
      <c r="B362" s="337" t="s">
        <v>1031</v>
      </c>
      <c r="C362" s="337" t="s">
        <v>1099</v>
      </c>
      <c r="D362" s="337" t="s">
        <v>1100</v>
      </c>
      <c r="E362" s="337" t="s">
        <v>1101</v>
      </c>
      <c r="F362" s="338">
        <v>44410</v>
      </c>
      <c r="G362" s="338">
        <v>48091</v>
      </c>
      <c r="H362" s="337" t="s">
        <v>992</v>
      </c>
      <c r="I362" s="428">
        <v>1</v>
      </c>
      <c r="J362" s="340">
        <v>600.16</v>
      </c>
      <c r="K362" s="340">
        <v>245.4</v>
      </c>
      <c r="L362" s="340">
        <v>354.76</v>
      </c>
      <c r="M362" s="337" t="s">
        <v>1032</v>
      </c>
      <c r="N362" s="337" t="s">
        <v>993</v>
      </c>
      <c r="O362" s="337" t="s">
        <v>994</v>
      </c>
      <c r="P362" s="337" t="s">
        <v>1041</v>
      </c>
      <c r="Q362" s="337"/>
      <c r="R362" s="337"/>
      <c r="S362" s="337"/>
      <c r="T362" s="337" t="s">
        <v>1034</v>
      </c>
      <c r="U362" s="337"/>
      <c r="V362" s="337"/>
      <c r="W362" s="429">
        <v>45901</v>
      </c>
      <c r="X362" s="430">
        <v>60</v>
      </c>
    </row>
    <row r="363" spans="1:24" ht="15" x14ac:dyDescent="0.25">
      <c r="A363" s="337" t="s">
        <v>1030</v>
      </c>
      <c r="B363" s="337" t="s">
        <v>1031</v>
      </c>
      <c r="C363" s="337" t="s">
        <v>1102</v>
      </c>
      <c r="D363" s="337" t="s">
        <v>1103</v>
      </c>
      <c r="E363" s="337" t="s">
        <v>1104</v>
      </c>
      <c r="F363" s="338">
        <v>43845</v>
      </c>
      <c r="G363" s="338">
        <v>47514</v>
      </c>
      <c r="H363" s="337" t="s">
        <v>992</v>
      </c>
      <c r="I363" s="428">
        <v>1</v>
      </c>
      <c r="J363" s="340">
        <v>2140</v>
      </c>
      <c r="K363" s="340">
        <v>1213.03</v>
      </c>
      <c r="L363" s="340">
        <v>926.97</v>
      </c>
      <c r="M363" s="337" t="s">
        <v>1032</v>
      </c>
      <c r="N363" s="337" t="s">
        <v>993</v>
      </c>
      <c r="O363" s="337" t="s">
        <v>994</v>
      </c>
      <c r="P363" s="337" t="s">
        <v>995</v>
      </c>
      <c r="Q363" s="337"/>
      <c r="R363" s="337"/>
      <c r="S363" s="337"/>
      <c r="T363" s="337" t="s">
        <v>1029</v>
      </c>
      <c r="U363" s="337"/>
      <c r="V363" s="337"/>
      <c r="W363" s="429">
        <v>45901</v>
      </c>
      <c r="X363" s="430">
        <v>213.96</v>
      </c>
    </row>
    <row r="364" spans="1:24" ht="15" x14ac:dyDescent="0.25">
      <c r="A364" s="337" t="s">
        <v>1030</v>
      </c>
      <c r="B364" s="337" t="s">
        <v>1031</v>
      </c>
      <c r="C364" s="337" t="s">
        <v>1105</v>
      </c>
      <c r="D364" s="337" t="s">
        <v>1106</v>
      </c>
      <c r="E364" s="337" t="s">
        <v>1107</v>
      </c>
      <c r="F364" s="338">
        <v>44194</v>
      </c>
      <c r="G364" s="338">
        <v>47848</v>
      </c>
      <c r="H364" s="337" t="s">
        <v>992</v>
      </c>
      <c r="I364" s="428">
        <v>1</v>
      </c>
      <c r="J364" s="340">
        <v>3049.2</v>
      </c>
      <c r="K364" s="340">
        <v>1448.37</v>
      </c>
      <c r="L364" s="340">
        <v>1600.83</v>
      </c>
      <c r="M364" s="337" t="s">
        <v>1032</v>
      </c>
      <c r="N364" s="337" t="s">
        <v>993</v>
      </c>
      <c r="O364" s="337" t="s">
        <v>994</v>
      </c>
      <c r="P364" s="337" t="s">
        <v>1033</v>
      </c>
      <c r="Q364" s="337"/>
      <c r="R364" s="337"/>
      <c r="S364" s="337"/>
      <c r="T364" s="337" t="s">
        <v>1029</v>
      </c>
      <c r="U364" s="337"/>
      <c r="V364" s="337"/>
      <c r="W364" s="429">
        <v>45901</v>
      </c>
      <c r="X364" s="430">
        <v>304.92</v>
      </c>
    </row>
    <row r="365" spans="1:24" ht="15" x14ac:dyDescent="0.25">
      <c r="A365" s="337" t="s">
        <v>1030</v>
      </c>
      <c r="B365" s="337" t="s">
        <v>1031</v>
      </c>
      <c r="C365" s="337" t="s">
        <v>1108</v>
      </c>
      <c r="D365" s="337" t="s">
        <v>1109</v>
      </c>
      <c r="E365" s="337" t="s">
        <v>1110</v>
      </c>
      <c r="F365" s="338">
        <v>44173</v>
      </c>
      <c r="G365" s="338">
        <v>47848</v>
      </c>
      <c r="H365" s="337" t="s">
        <v>992</v>
      </c>
      <c r="I365" s="428">
        <v>1</v>
      </c>
      <c r="J365" s="340">
        <v>544.5</v>
      </c>
      <c r="K365" s="340">
        <v>258.77999999999997</v>
      </c>
      <c r="L365" s="340">
        <v>285.72000000000003</v>
      </c>
      <c r="M365" s="337" t="s">
        <v>1032</v>
      </c>
      <c r="N365" s="337" t="s">
        <v>993</v>
      </c>
      <c r="O365" s="337" t="s">
        <v>994</v>
      </c>
      <c r="P365" s="337" t="s">
        <v>995</v>
      </c>
      <c r="Q365" s="337"/>
      <c r="R365" s="337"/>
      <c r="S365" s="337"/>
      <c r="T365" s="337" t="s">
        <v>1029</v>
      </c>
      <c r="U365" s="337"/>
      <c r="V365" s="337"/>
      <c r="W365" s="429">
        <v>45901</v>
      </c>
      <c r="X365" s="430">
        <v>54.48</v>
      </c>
    </row>
    <row r="366" spans="1:24" ht="15" x14ac:dyDescent="0.25">
      <c r="A366" s="337" t="s">
        <v>1030</v>
      </c>
      <c r="B366" s="337" t="s">
        <v>1031</v>
      </c>
      <c r="C366" s="337" t="s">
        <v>1111</v>
      </c>
      <c r="D366" s="337" t="s">
        <v>1112</v>
      </c>
      <c r="E366" s="337" t="s">
        <v>1111</v>
      </c>
      <c r="F366" s="338">
        <v>45561</v>
      </c>
      <c r="G366" s="338">
        <v>49217</v>
      </c>
      <c r="H366" s="337" t="s">
        <v>992</v>
      </c>
      <c r="I366" s="428">
        <v>1</v>
      </c>
      <c r="J366" s="340">
        <v>14108.1</v>
      </c>
      <c r="K366" s="340">
        <v>1410.84</v>
      </c>
      <c r="L366" s="340">
        <v>12697.26</v>
      </c>
      <c r="M366" s="337" t="s">
        <v>1032</v>
      </c>
      <c r="N366" s="337" t="s">
        <v>993</v>
      </c>
      <c r="O366" s="337" t="s">
        <v>994</v>
      </c>
      <c r="P366" s="337" t="s">
        <v>995</v>
      </c>
      <c r="Q366" s="337"/>
      <c r="R366" s="337"/>
      <c r="S366" s="337"/>
      <c r="T366" s="337" t="s">
        <v>1029</v>
      </c>
      <c r="U366" s="337" t="s">
        <v>1113</v>
      </c>
      <c r="V366" s="337"/>
      <c r="W366" s="429">
        <v>45901</v>
      </c>
      <c r="X366" s="430">
        <v>1410.84</v>
      </c>
    </row>
    <row r="367" spans="1:24" ht="15" x14ac:dyDescent="0.25">
      <c r="A367" s="337" t="s">
        <v>1030</v>
      </c>
      <c r="B367" s="337" t="s">
        <v>1031</v>
      </c>
      <c r="C367" s="337" t="s">
        <v>1114</v>
      </c>
      <c r="D367" s="337" t="s">
        <v>1115</v>
      </c>
      <c r="E367" s="337" t="s">
        <v>1114</v>
      </c>
      <c r="F367" s="338">
        <v>44900</v>
      </c>
      <c r="G367" s="338">
        <v>48579</v>
      </c>
      <c r="H367" s="337" t="s">
        <v>992</v>
      </c>
      <c r="I367" s="428">
        <v>1</v>
      </c>
      <c r="J367" s="340">
        <v>4169.0600000000004</v>
      </c>
      <c r="K367" s="340">
        <v>1146.6600000000001</v>
      </c>
      <c r="L367" s="340">
        <v>3022.4</v>
      </c>
      <c r="M367" s="337" t="s">
        <v>1032</v>
      </c>
      <c r="N367" s="337" t="s">
        <v>993</v>
      </c>
      <c r="O367" s="337" t="s">
        <v>994</v>
      </c>
      <c r="P367" s="337" t="s">
        <v>995</v>
      </c>
      <c r="Q367" s="337"/>
      <c r="R367" s="337"/>
      <c r="S367" s="337"/>
      <c r="T367" s="337" t="s">
        <v>1029</v>
      </c>
      <c r="U367" s="337"/>
      <c r="V367" s="337"/>
      <c r="W367" s="429">
        <v>45901</v>
      </c>
      <c r="X367" s="430">
        <v>416.88</v>
      </c>
    </row>
    <row r="368" spans="1:24" ht="15" x14ac:dyDescent="0.25">
      <c r="A368" s="337" t="s">
        <v>1030</v>
      </c>
      <c r="B368" s="337" t="s">
        <v>1031</v>
      </c>
      <c r="C368" s="337" t="s">
        <v>1116</v>
      </c>
      <c r="D368" s="337" t="s">
        <v>1117</v>
      </c>
      <c r="E368" s="337" t="s">
        <v>1116</v>
      </c>
      <c r="F368" s="338">
        <v>44895</v>
      </c>
      <c r="G368" s="338">
        <v>48548</v>
      </c>
      <c r="H368" s="337" t="s">
        <v>992</v>
      </c>
      <c r="I368" s="428">
        <v>1</v>
      </c>
      <c r="J368" s="340">
        <v>1748.09</v>
      </c>
      <c r="K368" s="340">
        <v>495.38</v>
      </c>
      <c r="L368" s="340">
        <v>1252.71</v>
      </c>
      <c r="M368" s="337" t="s">
        <v>1032</v>
      </c>
      <c r="N368" s="337" t="s">
        <v>993</v>
      </c>
      <c r="O368" s="337" t="s">
        <v>994</v>
      </c>
      <c r="P368" s="337" t="s">
        <v>995</v>
      </c>
      <c r="Q368" s="337"/>
      <c r="R368" s="337"/>
      <c r="S368" s="337"/>
      <c r="T368" s="337" t="s">
        <v>1029</v>
      </c>
      <c r="U368" s="337"/>
      <c r="V368" s="337"/>
      <c r="W368" s="429">
        <v>45901</v>
      </c>
      <c r="X368" s="430">
        <v>174.84</v>
      </c>
    </row>
    <row r="369" spans="1:24" ht="15" x14ac:dyDescent="0.25">
      <c r="A369" s="337" t="s">
        <v>1030</v>
      </c>
      <c r="B369" s="337" t="s">
        <v>1031</v>
      </c>
      <c r="C369" s="337" t="s">
        <v>1118</v>
      </c>
      <c r="D369" s="337" t="s">
        <v>1119</v>
      </c>
      <c r="E369" s="337" t="s">
        <v>1118</v>
      </c>
      <c r="F369" s="338">
        <v>44707</v>
      </c>
      <c r="G369" s="338">
        <v>48365</v>
      </c>
      <c r="H369" s="337" t="s">
        <v>992</v>
      </c>
      <c r="I369" s="428">
        <v>1</v>
      </c>
      <c r="J369" s="340">
        <v>3981.86</v>
      </c>
      <c r="K369" s="340">
        <v>1231.6600000000001</v>
      </c>
      <c r="L369" s="340">
        <v>2750.2</v>
      </c>
      <c r="M369" s="337" t="s">
        <v>1032</v>
      </c>
      <c r="N369" s="337" t="s">
        <v>993</v>
      </c>
      <c r="O369" s="337" t="s">
        <v>994</v>
      </c>
      <c r="P369" s="337" t="s">
        <v>995</v>
      </c>
      <c r="Q369" s="337"/>
      <c r="R369" s="337"/>
      <c r="S369" s="337"/>
      <c r="T369" s="337" t="s">
        <v>1029</v>
      </c>
      <c r="U369" s="337"/>
      <c r="V369" s="337"/>
      <c r="W369" s="429">
        <v>45901</v>
      </c>
      <c r="X369" s="430">
        <v>412.56</v>
      </c>
    </row>
    <row r="370" spans="1:24" ht="15" x14ac:dyDescent="0.25">
      <c r="A370" s="337" t="s">
        <v>1030</v>
      </c>
      <c r="B370" s="337" t="s">
        <v>1031</v>
      </c>
      <c r="C370" s="337" t="s">
        <v>1120</v>
      </c>
      <c r="D370" s="337" t="s">
        <v>1121</v>
      </c>
      <c r="E370" s="337" t="s">
        <v>1120</v>
      </c>
      <c r="F370" s="338">
        <v>44677</v>
      </c>
      <c r="G370" s="338">
        <v>48334</v>
      </c>
      <c r="H370" s="337" t="s">
        <v>992</v>
      </c>
      <c r="I370" s="428">
        <v>1</v>
      </c>
      <c r="J370" s="340">
        <v>2002.84</v>
      </c>
      <c r="K370" s="340">
        <v>615.44000000000005</v>
      </c>
      <c r="L370" s="340">
        <v>1387.4</v>
      </c>
      <c r="M370" s="337" t="s">
        <v>1032</v>
      </c>
      <c r="N370" s="337" t="s">
        <v>993</v>
      </c>
      <c r="O370" s="337" t="s">
        <v>994</v>
      </c>
      <c r="P370" s="337" t="s">
        <v>999</v>
      </c>
      <c r="Q370" s="337"/>
      <c r="R370" s="337"/>
      <c r="S370" s="337"/>
      <c r="T370" s="337" t="s">
        <v>1034</v>
      </c>
      <c r="U370" s="337"/>
      <c r="V370" s="337"/>
      <c r="W370" s="429">
        <v>45901</v>
      </c>
      <c r="X370" s="430">
        <v>210.72</v>
      </c>
    </row>
    <row r="371" spans="1:24" ht="15" x14ac:dyDescent="0.25">
      <c r="A371" s="337" t="s">
        <v>1030</v>
      </c>
      <c r="B371" s="337" t="s">
        <v>1031</v>
      </c>
      <c r="C371" s="337" t="s">
        <v>1122</v>
      </c>
      <c r="D371" s="337" t="s">
        <v>1121</v>
      </c>
      <c r="E371" s="337" t="s">
        <v>1122</v>
      </c>
      <c r="F371" s="338">
        <v>44677</v>
      </c>
      <c r="G371" s="338">
        <v>48334</v>
      </c>
      <c r="H371" s="337" t="s">
        <v>992</v>
      </c>
      <c r="I371" s="428">
        <v>1</v>
      </c>
      <c r="J371" s="340">
        <v>2002.84</v>
      </c>
      <c r="K371" s="340">
        <v>615.44000000000005</v>
      </c>
      <c r="L371" s="340">
        <v>1387.4</v>
      </c>
      <c r="M371" s="337" t="s">
        <v>1032</v>
      </c>
      <c r="N371" s="337" t="s">
        <v>993</v>
      </c>
      <c r="O371" s="337" t="s">
        <v>994</v>
      </c>
      <c r="P371" s="337" t="s">
        <v>999</v>
      </c>
      <c r="Q371" s="337"/>
      <c r="R371" s="337"/>
      <c r="S371" s="337"/>
      <c r="T371" s="337" t="s">
        <v>1034</v>
      </c>
      <c r="U371" s="337"/>
      <c r="V371" s="337"/>
      <c r="W371" s="429">
        <v>45901</v>
      </c>
      <c r="X371" s="430">
        <v>210.72</v>
      </c>
    </row>
    <row r="372" spans="1:24" ht="15" x14ac:dyDescent="0.25">
      <c r="A372" s="337" t="s">
        <v>1001</v>
      </c>
      <c r="B372" s="337" t="s">
        <v>1002</v>
      </c>
      <c r="C372" s="337" t="s">
        <v>1123</v>
      </c>
      <c r="D372" s="337" t="s">
        <v>1124</v>
      </c>
      <c r="E372" s="337" t="s">
        <v>1123</v>
      </c>
      <c r="F372" s="338">
        <v>45653</v>
      </c>
      <c r="G372" s="338">
        <v>49305</v>
      </c>
      <c r="H372" s="337" t="s">
        <v>992</v>
      </c>
      <c r="I372" s="428">
        <v>1</v>
      </c>
      <c r="J372" s="340">
        <v>40839.57</v>
      </c>
      <c r="K372" s="340">
        <v>3062.97</v>
      </c>
      <c r="L372" s="340">
        <v>37776.6</v>
      </c>
      <c r="M372" s="337" t="s">
        <v>1006</v>
      </c>
      <c r="N372" s="337" t="s">
        <v>993</v>
      </c>
      <c r="O372" s="337" t="s">
        <v>994</v>
      </c>
      <c r="P372" s="337" t="s">
        <v>995</v>
      </c>
      <c r="Q372" s="337" t="s">
        <v>1125</v>
      </c>
      <c r="R372" s="337"/>
      <c r="S372" s="337" t="s">
        <v>1125</v>
      </c>
      <c r="T372" s="337" t="s">
        <v>997</v>
      </c>
      <c r="U372" s="337"/>
      <c r="V372" s="337"/>
      <c r="W372" s="429">
        <v>45901</v>
      </c>
      <c r="X372" s="430">
        <v>4083.96</v>
      </c>
    </row>
    <row r="373" spans="1:24" ht="15" x14ac:dyDescent="0.25">
      <c r="A373" s="337" t="s">
        <v>1001</v>
      </c>
      <c r="B373" s="337" t="s">
        <v>1002</v>
      </c>
      <c r="C373" s="337" t="s">
        <v>1126</v>
      </c>
      <c r="D373" s="337" t="s">
        <v>1127</v>
      </c>
      <c r="E373" s="337" t="s">
        <v>1126</v>
      </c>
      <c r="F373" s="338">
        <v>45320</v>
      </c>
      <c r="G373" s="338">
        <v>48975</v>
      </c>
      <c r="H373" s="337" t="s">
        <v>992</v>
      </c>
      <c r="I373" s="428">
        <v>1</v>
      </c>
      <c r="J373" s="340">
        <v>5516.9</v>
      </c>
      <c r="K373" s="340">
        <v>919.51</v>
      </c>
      <c r="L373" s="340">
        <v>4597.3900000000003</v>
      </c>
      <c r="M373" s="337" t="s">
        <v>1006</v>
      </c>
      <c r="N373" s="337" t="s">
        <v>993</v>
      </c>
      <c r="O373" s="337" t="s">
        <v>994</v>
      </c>
      <c r="P373" s="337" t="s">
        <v>995</v>
      </c>
      <c r="Q373" s="337" t="s">
        <v>1128</v>
      </c>
      <c r="R373" s="337"/>
      <c r="S373" s="337" t="s">
        <v>1128</v>
      </c>
      <c r="T373" s="337" t="s">
        <v>997</v>
      </c>
      <c r="U373" s="337"/>
      <c r="V373" s="337"/>
      <c r="W373" s="429">
        <v>45901</v>
      </c>
      <c r="X373" s="430">
        <v>551.64</v>
      </c>
    </row>
    <row r="374" spans="1:24" ht="15" x14ac:dyDescent="0.25">
      <c r="A374" s="337" t="s">
        <v>1001</v>
      </c>
      <c r="B374" s="337" t="s">
        <v>1002</v>
      </c>
      <c r="C374" s="337" t="s">
        <v>1129</v>
      </c>
      <c r="D374" s="337" t="s">
        <v>1130</v>
      </c>
      <c r="E374" s="337" t="s">
        <v>1129</v>
      </c>
      <c r="F374" s="338">
        <v>45320</v>
      </c>
      <c r="G374" s="338">
        <v>48975</v>
      </c>
      <c r="H374" s="337" t="s">
        <v>992</v>
      </c>
      <c r="I374" s="428">
        <v>1</v>
      </c>
      <c r="J374" s="340">
        <v>34620.92</v>
      </c>
      <c r="K374" s="340">
        <v>5770.2</v>
      </c>
      <c r="L374" s="340">
        <v>28850.720000000001</v>
      </c>
      <c r="M374" s="337" t="s">
        <v>1006</v>
      </c>
      <c r="N374" s="337" t="s">
        <v>993</v>
      </c>
      <c r="O374" s="337" t="s">
        <v>994</v>
      </c>
      <c r="P374" s="337" t="s">
        <v>995</v>
      </c>
      <c r="Q374" s="337" t="s">
        <v>1131</v>
      </c>
      <c r="R374" s="337"/>
      <c r="S374" s="337" t="s">
        <v>1131</v>
      </c>
      <c r="T374" s="337" t="s">
        <v>997</v>
      </c>
      <c r="U374" s="337"/>
      <c r="V374" s="337"/>
      <c r="W374" s="429">
        <v>45901</v>
      </c>
      <c r="X374" s="430">
        <v>3462.12</v>
      </c>
    </row>
    <row r="375" spans="1:24" ht="15" x14ac:dyDescent="0.25">
      <c r="A375" s="337" t="s">
        <v>1001</v>
      </c>
      <c r="B375" s="337" t="s">
        <v>1002</v>
      </c>
      <c r="C375" s="337" t="s">
        <v>1132</v>
      </c>
      <c r="D375" s="337" t="s">
        <v>1133</v>
      </c>
      <c r="E375" s="337" t="s">
        <v>1132</v>
      </c>
      <c r="F375" s="338">
        <v>44767</v>
      </c>
      <c r="G375" s="338">
        <v>48426</v>
      </c>
      <c r="H375" s="337" t="s">
        <v>992</v>
      </c>
      <c r="I375" s="428">
        <v>1</v>
      </c>
      <c r="J375" s="340">
        <v>14926.36</v>
      </c>
      <c r="K375" s="340">
        <v>4726.82</v>
      </c>
      <c r="L375" s="340">
        <v>10199.540000000001</v>
      </c>
      <c r="M375" s="337" t="s">
        <v>1006</v>
      </c>
      <c r="N375" s="337" t="s">
        <v>993</v>
      </c>
      <c r="O375" s="337" t="s">
        <v>994</v>
      </c>
      <c r="P375" s="337" t="s">
        <v>994</v>
      </c>
      <c r="Q375" s="337" t="s">
        <v>1134</v>
      </c>
      <c r="R375" s="337"/>
      <c r="S375" s="337" t="s">
        <v>1134</v>
      </c>
      <c r="T375" s="337" t="s">
        <v>997</v>
      </c>
      <c r="U375" s="337"/>
      <c r="V375" s="337"/>
      <c r="W375" s="429">
        <v>45901</v>
      </c>
      <c r="X375" s="430">
        <v>1492.68</v>
      </c>
    </row>
    <row r="376" spans="1:24" ht="15" x14ac:dyDescent="0.25">
      <c r="A376" s="337" t="s">
        <v>1001</v>
      </c>
      <c r="B376" s="337" t="s">
        <v>1002</v>
      </c>
      <c r="C376" s="337" t="s">
        <v>1135</v>
      </c>
      <c r="D376" s="337" t="s">
        <v>1136</v>
      </c>
      <c r="E376" s="337" t="s">
        <v>1085</v>
      </c>
      <c r="F376" s="338">
        <v>37986</v>
      </c>
      <c r="G376" s="338">
        <v>71344</v>
      </c>
      <c r="H376" s="337" t="s">
        <v>992</v>
      </c>
      <c r="I376" s="428">
        <v>1</v>
      </c>
      <c r="J376" s="340">
        <v>92160.9</v>
      </c>
      <c r="K376" s="340">
        <v>28032.880000000001</v>
      </c>
      <c r="L376" s="340">
        <v>64128.02</v>
      </c>
      <c r="M376" s="337" t="s">
        <v>1006</v>
      </c>
      <c r="N376" s="337" t="s">
        <v>993</v>
      </c>
      <c r="O376" s="337" t="s">
        <v>994</v>
      </c>
      <c r="P376" s="337" t="s">
        <v>995</v>
      </c>
      <c r="Q376" s="337" t="s">
        <v>996</v>
      </c>
      <c r="R376" s="337" t="s">
        <v>996</v>
      </c>
      <c r="S376" s="337" t="s">
        <v>996</v>
      </c>
      <c r="T376" s="337" t="s">
        <v>997</v>
      </c>
      <c r="U376" s="337"/>
      <c r="V376" s="337" t="s">
        <v>996</v>
      </c>
      <c r="W376" s="429">
        <v>45901</v>
      </c>
      <c r="X376" s="430">
        <v>921.6</v>
      </c>
    </row>
    <row r="377" spans="1:24" ht="15" x14ac:dyDescent="0.25">
      <c r="A377" s="337" t="s">
        <v>1087</v>
      </c>
      <c r="B377" s="337" t="s">
        <v>1088</v>
      </c>
      <c r="C377" s="337" t="s">
        <v>1137</v>
      </c>
      <c r="D377" s="337" t="s">
        <v>1138</v>
      </c>
      <c r="E377" s="337" t="s">
        <v>1137</v>
      </c>
      <c r="F377" s="338">
        <v>44545</v>
      </c>
      <c r="G377" s="338">
        <v>46371</v>
      </c>
      <c r="H377" s="337" t="s">
        <v>992</v>
      </c>
      <c r="I377" s="428">
        <v>1</v>
      </c>
      <c r="J377" s="340">
        <v>2199.8000000000002</v>
      </c>
      <c r="K377" s="340">
        <v>1649.97</v>
      </c>
      <c r="L377" s="340">
        <v>549.83000000000004</v>
      </c>
      <c r="M377" s="337" t="s">
        <v>1089</v>
      </c>
      <c r="N377" s="337" t="s">
        <v>1090</v>
      </c>
      <c r="O377" s="337" t="s">
        <v>994</v>
      </c>
      <c r="P377" s="337" t="s">
        <v>995</v>
      </c>
      <c r="Q377" s="337"/>
      <c r="R377" s="337"/>
      <c r="S377" s="337"/>
      <c r="T377" s="337" t="s">
        <v>1034</v>
      </c>
      <c r="U377" s="337"/>
      <c r="V377" s="337"/>
      <c r="W377" s="429">
        <v>45901</v>
      </c>
      <c r="X377" s="430">
        <v>439.8</v>
      </c>
    </row>
    <row r="378" spans="1:24" ht="15.75" thickBot="1" x14ac:dyDescent="0.3">
      <c r="A378" s="337" t="s">
        <v>1087</v>
      </c>
      <c r="B378" s="337" t="s">
        <v>1088</v>
      </c>
      <c r="C378" s="337" t="s">
        <v>1139</v>
      </c>
      <c r="D378" s="337" t="s">
        <v>1140</v>
      </c>
      <c r="E378" s="337" t="s">
        <v>1139</v>
      </c>
      <c r="F378" s="338">
        <v>44546</v>
      </c>
      <c r="G378" s="338">
        <v>46372</v>
      </c>
      <c r="H378" s="337" t="s">
        <v>992</v>
      </c>
      <c r="I378" s="428">
        <v>1</v>
      </c>
      <c r="J378" s="340">
        <v>12989.35</v>
      </c>
      <c r="K378" s="340">
        <v>9742.0499999999993</v>
      </c>
      <c r="L378" s="340">
        <v>3247.3</v>
      </c>
      <c r="M378" s="337" t="s">
        <v>1089</v>
      </c>
      <c r="N378" s="337" t="s">
        <v>1090</v>
      </c>
      <c r="O378" s="337" t="s">
        <v>994</v>
      </c>
      <c r="P378" s="337" t="s">
        <v>995</v>
      </c>
      <c r="Q378" s="337"/>
      <c r="R378" s="337"/>
      <c r="S378" s="337"/>
      <c r="T378" s="337" t="s">
        <v>1034</v>
      </c>
      <c r="U378" s="337"/>
      <c r="V378" s="337"/>
      <c r="W378" s="429">
        <v>45901</v>
      </c>
      <c r="X378" s="430">
        <v>2597.88</v>
      </c>
    </row>
    <row r="379" spans="1:24" ht="13.5" thickBot="1" x14ac:dyDescent="0.25">
      <c r="X379" s="431">
        <f>SUM(X332:X378)</f>
        <v>43302.000000000007</v>
      </c>
    </row>
    <row r="381" spans="1:24" x14ac:dyDescent="0.2">
      <c r="V381" s="374"/>
    </row>
    <row r="383" spans="1:24" x14ac:dyDescent="0.2">
      <c r="A383" s="373"/>
      <c r="B383" s="373"/>
      <c r="C383" s="373"/>
      <c r="D383" s="373"/>
      <c r="E383" s="373"/>
      <c r="F383" s="373"/>
      <c r="G383" s="373"/>
      <c r="H383" s="373"/>
      <c r="I383" s="373"/>
      <c r="J383" s="373"/>
    </row>
    <row r="384" spans="1:24" x14ac:dyDescent="0.2">
      <c r="A384" s="373"/>
      <c r="B384" s="373"/>
      <c r="C384" s="373"/>
      <c r="D384" s="373"/>
      <c r="E384" s="373"/>
      <c r="F384" s="373"/>
      <c r="G384" s="373"/>
      <c r="H384" s="373"/>
      <c r="I384" s="373"/>
      <c r="J384" s="373"/>
    </row>
    <row r="385" spans="1:10" x14ac:dyDescent="0.2">
      <c r="A385" s="373"/>
      <c r="B385" s="373"/>
      <c r="C385" s="373"/>
      <c r="D385" s="373"/>
      <c r="E385" s="373"/>
      <c r="F385" s="373"/>
      <c r="G385" s="373"/>
      <c r="H385" s="373"/>
      <c r="I385" s="373"/>
      <c r="J385" s="373"/>
    </row>
    <row r="389" spans="1:10" x14ac:dyDescent="0.2">
      <c r="J389" s="432"/>
    </row>
  </sheetData>
  <mergeCells count="5">
    <mergeCell ref="R23:R25"/>
    <mergeCell ref="S23:S25"/>
    <mergeCell ref="N1:N9"/>
    <mergeCell ref="N23:N25"/>
    <mergeCell ref="Q23:Q2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B003B-FA1B-4070-BC68-6669222619A2}">
  <dimension ref="A1:G26"/>
  <sheetViews>
    <sheetView tabSelected="1" zoomScale="80" zoomScaleNormal="80" workbookViewId="0">
      <selection sqref="A1:C1"/>
    </sheetView>
  </sheetViews>
  <sheetFormatPr defaultColWidth="10.42578125" defaultRowHeight="15.75" x14ac:dyDescent="0.25"/>
  <cols>
    <col min="1" max="1" width="26.42578125" style="157" customWidth="1"/>
    <col min="2" max="2" width="45.42578125" style="157" customWidth="1"/>
    <col min="3" max="3" width="34.7109375" style="157" customWidth="1"/>
    <col min="4" max="4" width="14.28515625" style="157" customWidth="1"/>
    <col min="5" max="16384" width="10.42578125" style="157"/>
  </cols>
  <sheetData>
    <row r="1" spans="1:5" x14ac:dyDescent="0.25">
      <c r="A1" s="545" t="s">
        <v>15</v>
      </c>
      <c r="B1" s="545"/>
      <c r="C1" s="545"/>
    </row>
    <row r="3" spans="1:5" x14ac:dyDescent="0.25">
      <c r="A3" s="178" t="s">
        <v>1203</v>
      </c>
    </row>
    <row r="4" spans="1:5" x14ac:dyDescent="0.25">
      <c r="A4" s="157" t="s">
        <v>122</v>
      </c>
      <c r="B4" s="57" t="s">
        <v>124</v>
      </c>
    </row>
    <row r="5" spans="1:5" x14ac:dyDescent="0.25">
      <c r="A5" s="177" t="s">
        <v>39</v>
      </c>
      <c r="B5" s="455" t="s">
        <v>1213</v>
      </c>
      <c r="E5" s="179"/>
    </row>
    <row r="6" spans="1:5" x14ac:dyDescent="0.25">
      <c r="A6" s="157" t="s">
        <v>123</v>
      </c>
      <c r="B6" s="57" t="s">
        <v>1189</v>
      </c>
    </row>
    <row r="8" spans="1:5" s="158" customFormat="1" ht="68.25" customHeight="1" x14ac:dyDescent="0.25">
      <c r="A8" s="162" t="s">
        <v>16</v>
      </c>
      <c r="B8" s="162" t="s">
        <v>17</v>
      </c>
      <c r="C8" s="162" t="s">
        <v>18</v>
      </c>
    </row>
    <row r="9" spans="1:5" x14ac:dyDescent="0.25">
      <c r="A9" s="163">
        <v>1</v>
      </c>
      <c r="B9" s="163">
        <v>2</v>
      </c>
      <c r="C9" s="163">
        <v>3</v>
      </c>
    </row>
    <row r="10" spans="1:5" x14ac:dyDescent="0.25">
      <c r="A10" s="164"/>
      <c r="B10" s="82" t="s">
        <v>9</v>
      </c>
      <c r="C10" s="163" t="s">
        <v>19</v>
      </c>
    </row>
    <row r="11" spans="1:5" x14ac:dyDescent="0.25">
      <c r="A11" s="165">
        <v>1100</v>
      </c>
      <c r="B11" s="166" t="s">
        <v>10</v>
      </c>
      <c r="C11" s="169">
        <v>78.83</v>
      </c>
    </row>
    <row r="12" spans="1:5" ht="31.5" x14ac:dyDescent="0.25">
      <c r="A12" s="165">
        <v>1200</v>
      </c>
      <c r="B12" s="167" t="s">
        <v>11</v>
      </c>
      <c r="C12" s="169">
        <v>21.17</v>
      </c>
    </row>
    <row r="13" spans="1:5" x14ac:dyDescent="0.25">
      <c r="A13" s="164"/>
      <c r="B13" s="82" t="s">
        <v>20</v>
      </c>
      <c r="C13" s="170">
        <f>SUM(C11:C12)</f>
        <v>100</v>
      </c>
    </row>
    <row r="14" spans="1:5" x14ac:dyDescent="0.25">
      <c r="A14" s="164"/>
      <c r="B14" s="82" t="s">
        <v>12</v>
      </c>
      <c r="C14" s="176" t="s">
        <v>19</v>
      </c>
    </row>
    <row r="15" spans="1:5" x14ac:dyDescent="0.25">
      <c r="A15" s="164"/>
      <c r="B15" s="82" t="s">
        <v>22</v>
      </c>
      <c r="C15" s="176">
        <v>0</v>
      </c>
    </row>
    <row r="16" spans="1:5" x14ac:dyDescent="0.25">
      <c r="A16" s="164"/>
      <c r="B16" s="83" t="s">
        <v>54</v>
      </c>
      <c r="C16" s="171">
        <f>C13+C15</f>
        <v>100</v>
      </c>
    </row>
    <row r="18" spans="1:7" x14ac:dyDescent="0.25">
      <c r="A18" s="543" t="s">
        <v>73</v>
      </c>
      <c r="B18" s="543"/>
      <c r="C18" s="172">
        <v>1</v>
      </c>
    </row>
    <row r="19" spans="1:7" ht="33.75" customHeight="1" x14ac:dyDescent="0.25">
      <c r="A19" s="543" t="s">
        <v>201</v>
      </c>
      <c r="B19" s="543"/>
      <c r="C19" s="173">
        <f>ROUND(C16/C18,2)</f>
        <v>100</v>
      </c>
      <c r="E19" s="159"/>
      <c r="G19" s="283"/>
    </row>
    <row r="20" spans="1:7" ht="30" customHeight="1" x14ac:dyDescent="0.25">
      <c r="A20" s="543" t="s">
        <v>1190</v>
      </c>
      <c r="B20" s="543"/>
      <c r="C20" s="522">
        <v>0</v>
      </c>
      <c r="E20" s="284"/>
    </row>
    <row r="21" spans="1:7" ht="28.5" customHeight="1" x14ac:dyDescent="0.25">
      <c r="A21" s="544" t="s">
        <v>1155</v>
      </c>
      <c r="B21" s="544"/>
      <c r="C21" s="174">
        <f>C19+C20</f>
        <v>100</v>
      </c>
      <c r="D21" s="161"/>
      <c r="E21" s="160"/>
      <c r="F21" s="159"/>
    </row>
    <row r="22" spans="1:7" ht="18.600000000000001" customHeight="1" x14ac:dyDescent="0.25">
      <c r="A22" s="543" t="s">
        <v>24</v>
      </c>
      <c r="B22" s="543"/>
      <c r="C22" s="175">
        <v>1</v>
      </c>
    </row>
    <row r="23" spans="1:7" ht="33" customHeight="1" x14ac:dyDescent="0.25">
      <c r="A23" s="543" t="s">
        <v>200</v>
      </c>
      <c r="B23" s="543"/>
      <c r="C23" s="168">
        <f>ROUND(C19*C22,2)</f>
        <v>100</v>
      </c>
    </row>
    <row r="26" spans="1:7" x14ac:dyDescent="0.25">
      <c r="C26" s="160"/>
    </row>
  </sheetData>
  <mergeCells count="7">
    <mergeCell ref="A22:B22"/>
    <mergeCell ref="A23:B23"/>
    <mergeCell ref="A18:B18"/>
    <mergeCell ref="A1:C1"/>
    <mergeCell ref="A19:B19"/>
    <mergeCell ref="A20:B20"/>
    <mergeCell ref="A21:B2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4406F-32E8-4E10-BCA6-E5C62EBBE043}">
  <dimension ref="B2:N25"/>
  <sheetViews>
    <sheetView zoomScale="80" zoomScaleNormal="80" workbookViewId="0">
      <selection activeCell="N23" sqref="N23"/>
    </sheetView>
  </sheetViews>
  <sheetFormatPr defaultRowHeight="15" x14ac:dyDescent="0.25"/>
  <cols>
    <col min="3" max="3" width="43" customWidth="1"/>
    <col min="4" max="4" width="31.7109375" customWidth="1"/>
    <col min="6" max="7" width="11.7109375" customWidth="1"/>
    <col min="8" max="8" width="10.7109375" customWidth="1"/>
    <col min="9" max="9" width="11" customWidth="1"/>
    <col min="10" max="10" width="28.28515625" customWidth="1"/>
    <col min="11" max="11" width="13.7109375" customWidth="1"/>
  </cols>
  <sheetData>
    <row r="2" spans="2:14" x14ac:dyDescent="0.25">
      <c r="B2" s="534" t="s">
        <v>1202</v>
      </c>
      <c r="C2" s="33"/>
    </row>
    <row r="3" spans="2:14" ht="30" x14ac:dyDescent="0.25">
      <c r="F3" s="524" t="s">
        <v>148</v>
      </c>
      <c r="G3" s="655" t="s">
        <v>250</v>
      </c>
      <c r="H3" s="656"/>
      <c r="I3" s="524" t="s">
        <v>251</v>
      </c>
      <c r="J3" s="524" t="s">
        <v>252</v>
      </c>
      <c r="K3" s="524" t="s">
        <v>13</v>
      </c>
      <c r="L3" s="24"/>
    </row>
    <row r="4" spans="2:14" ht="30" x14ac:dyDescent="0.25">
      <c r="B4" s="502">
        <v>1100</v>
      </c>
      <c r="C4" s="527" t="s">
        <v>1197</v>
      </c>
      <c r="D4" s="341" t="s">
        <v>1195</v>
      </c>
      <c r="E4" s="105" t="s">
        <v>1196</v>
      </c>
      <c r="F4" s="532">
        <v>2051</v>
      </c>
      <c r="G4" s="654">
        <f>F4/21/8</f>
        <v>12.208333333333334</v>
      </c>
      <c r="H4" s="654"/>
      <c r="I4" s="528">
        <f>G4/60</f>
        <v>0.20347222222222222</v>
      </c>
      <c r="J4" s="529">
        <v>45.62</v>
      </c>
      <c r="K4" s="530">
        <f>J4*I4</f>
        <v>9.2824027777777776</v>
      </c>
      <c r="L4" s="506" t="s">
        <v>238</v>
      </c>
      <c r="M4" s="525">
        <f>SUM(K4:K5)</f>
        <v>16.722878968253969</v>
      </c>
      <c r="N4" s="65" t="s">
        <v>262</v>
      </c>
    </row>
    <row r="5" spans="2:14" x14ac:dyDescent="0.25">
      <c r="B5" s="502">
        <v>1100</v>
      </c>
      <c r="C5" s="527" t="s">
        <v>1198</v>
      </c>
      <c r="D5" s="533" t="s">
        <v>256</v>
      </c>
      <c r="E5" s="105" t="s">
        <v>257</v>
      </c>
      <c r="F5" s="532">
        <v>1250</v>
      </c>
      <c r="G5" s="654">
        <f>F5/21/8</f>
        <v>7.4404761904761907</v>
      </c>
      <c r="H5" s="654"/>
      <c r="I5" s="528">
        <f>G5/60</f>
        <v>0.12400793650793651</v>
      </c>
      <c r="J5" s="529">
        <v>60</v>
      </c>
      <c r="K5" s="530">
        <f>J5*I5</f>
        <v>7.4404761904761907</v>
      </c>
      <c r="L5" s="506" t="s">
        <v>238</v>
      </c>
      <c r="M5" s="526"/>
    </row>
    <row r="7" spans="2:14" x14ac:dyDescent="0.25">
      <c r="B7" s="523" t="s">
        <v>1201</v>
      </c>
      <c r="C7" s="35"/>
    </row>
    <row r="8" spans="2:14" x14ac:dyDescent="0.25">
      <c r="C8" s="35"/>
    </row>
    <row r="9" spans="2:14" ht="30" x14ac:dyDescent="0.25">
      <c r="F9" s="524" t="s">
        <v>148</v>
      </c>
      <c r="G9" s="524"/>
      <c r="H9" s="524" t="s">
        <v>250</v>
      </c>
      <c r="I9" s="524" t="s">
        <v>251</v>
      </c>
      <c r="J9" s="524" t="s">
        <v>252</v>
      </c>
      <c r="K9" s="524" t="s">
        <v>13</v>
      </c>
      <c r="L9" s="24"/>
    </row>
    <row r="10" spans="2:14" ht="30" x14ac:dyDescent="0.25">
      <c r="B10" s="502">
        <v>1100</v>
      </c>
      <c r="C10" s="657" t="s">
        <v>1194</v>
      </c>
      <c r="D10" s="531" t="s">
        <v>1191</v>
      </c>
      <c r="E10" s="105" t="s">
        <v>268</v>
      </c>
      <c r="F10" s="532">
        <v>1968</v>
      </c>
      <c r="G10" s="660">
        <f>(F10+F11+F12+F13)/4</f>
        <v>1520.5</v>
      </c>
      <c r="H10" s="663">
        <f>G10/21/8</f>
        <v>9.0505952380952372</v>
      </c>
      <c r="I10" s="645">
        <f>H10/60</f>
        <v>0.15084325396825396</v>
      </c>
      <c r="J10" s="648">
        <v>160.88999999999999</v>
      </c>
      <c r="K10" s="651">
        <f>J10*I10</f>
        <v>24.269171130952376</v>
      </c>
      <c r="L10" s="506" t="s">
        <v>238</v>
      </c>
      <c r="M10" s="525">
        <f>SUM(K10:K13)</f>
        <v>24.269171130952376</v>
      </c>
      <c r="N10" s="65" t="s">
        <v>262</v>
      </c>
    </row>
    <row r="11" spans="2:14" x14ac:dyDescent="0.25">
      <c r="B11" s="502">
        <v>1100</v>
      </c>
      <c r="C11" s="658"/>
      <c r="D11" s="531" t="s">
        <v>1192</v>
      </c>
      <c r="E11" s="105" t="s">
        <v>1193</v>
      </c>
      <c r="F11" s="532">
        <v>1240</v>
      </c>
      <c r="G11" s="661"/>
      <c r="H11" s="664"/>
      <c r="I11" s="646"/>
      <c r="J11" s="649"/>
      <c r="K11" s="652"/>
      <c r="L11" s="506" t="s">
        <v>238</v>
      </c>
      <c r="M11" s="526"/>
    </row>
    <row r="12" spans="2:14" x14ac:dyDescent="0.25">
      <c r="B12" s="502">
        <v>1100</v>
      </c>
      <c r="C12" s="658"/>
      <c r="D12" s="531" t="s">
        <v>254</v>
      </c>
      <c r="E12" s="105" t="s">
        <v>270</v>
      </c>
      <c r="F12" s="532">
        <v>1437</v>
      </c>
      <c r="G12" s="661"/>
      <c r="H12" s="664"/>
      <c r="I12" s="646"/>
      <c r="J12" s="649"/>
      <c r="K12" s="652"/>
      <c r="L12" s="506" t="s">
        <v>238</v>
      </c>
    </row>
    <row r="13" spans="2:14" x14ac:dyDescent="0.25">
      <c r="B13" s="502">
        <v>1100</v>
      </c>
      <c r="C13" s="659"/>
      <c r="D13" s="531" t="s">
        <v>254</v>
      </c>
      <c r="E13" s="105" t="s">
        <v>270</v>
      </c>
      <c r="F13" s="532">
        <v>1437</v>
      </c>
      <c r="G13" s="662"/>
      <c r="H13" s="665"/>
      <c r="I13" s="647"/>
      <c r="J13" s="650"/>
      <c r="K13" s="653"/>
      <c r="L13" s="506" t="s">
        <v>238</v>
      </c>
    </row>
    <row r="16" spans="2:14" x14ac:dyDescent="0.25">
      <c r="B16" s="523" t="s">
        <v>1200</v>
      </c>
    </row>
    <row r="18" spans="2:14" ht="30" x14ac:dyDescent="0.25">
      <c r="F18" s="524" t="s">
        <v>148</v>
      </c>
      <c r="G18" s="524"/>
      <c r="H18" s="524" t="s">
        <v>250</v>
      </c>
      <c r="I18" s="524" t="s">
        <v>251</v>
      </c>
      <c r="J18" s="524" t="s">
        <v>252</v>
      </c>
      <c r="K18" s="524" t="s">
        <v>13</v>
      </c>
      <c r="L18" s="24"/>
    </row>
    <row r="19" spans="2:14" ht="30" x14ac:dyDescent="0.25">
      <c r="B19" s="502">
        <v>1100</v>
      </c>
      <c r="C19" s="657" t="s">
        <v>1199</v>
      </c>
      <c r="D19" s="531" t="s">
        <v>1191</v>
      </c>
      <c r="E19" s="105" t="s">
        <v>268</v>
      </c>
      <c r="F19" s="532">
        <v>1968</v>
      </c>
      <c r="G19" s="660">
        <f>(F19+F20+F21+F22)/4</f>
        <v>1520.5</v>
      </c>
      <c r="H19" s="663">
        <f>G19/21/8</f>
        <v>9.0505952380952372</v>
      </c>
      <c r="I19" s="645">
        <f>H19/60</f>
        <v>0.15084325396825396</v>
      </c>
      <c r="J19" s="648">
        <f>60*8.71</f>
        <v>522.6</v>
      </c>
      <c r="K19" s="651">
        <f>J19*I19</f>
        <v>78.830684523809524</v>
      </c>
      <c r="L19" s="506" t="s">
        <v>238</v>
      </c>
      <c r="M19" s="525">
        <f>SUM(K19:K22)</f>
        <v>78.830684523809524</v>
      </c>
      <c r="N19" s="65" t="s">
        <v>262</v>
      </c>
    </row>
    <row r="20" spans="2:14" x14ac:dyDescent="0.25">
      <c r="B20" s="502">
        <v>1100</v>
      </c>
      <c r="C20" s="658"/>
      <c r="D20" s="531" t="s">
        <v>1192</v>
      </c>
      <c r="E20" s="105" t="s">
        <v>1193</v>
      </c>
      <c r="F20" s="532">
        <v>1240</v>
      </c>
      <c r="G20" s="661"/>
      <c r="H20" s="664"/>
      <c r="I20" s="646"/>
      <c r="J20" s="649"/>
      <c r="K20" s="652"/>
      <c r="L20" s="506" t="s">
        <v>238</v>
      </c>
      <c r="M20" s="526"/>
    </row>
    <row r="21" spans="2:14" ht="14.65" customHeight="1" x14ac:dyDescent="0.25">
      <c r="B21" s="502">
        <v>1100</v>
      </c>
      <c r="C21" s="658"/>
      <c r="D21" s="531" t="s">
        <v>254</v>
      </c>
      <c r="E21" s="105" t="s">
        <v>270</v>
      </c>
      <c r="F21" s="532">
        <v>1437</v>
      </c>
      <c r="G21" s="661"/>
      <c r="H21" s="664"/>
      <c r="I21" s="646"/>
      <c r="J21" s="649"/>
      <c r="K21" s="652"/>
      <c r="L21" s="506" t="s">
        <v>238</v>
      </c>
    </row>
    <row r="22" spans="2:14" ht="29.65" customHeight="1" x14ac:dyDescent="0.25">
      <c r="B22" s="502">
        <v>1100</v>
      </c>
      <c r="C22" s="659"/>
      <c r="D22" s="531" t="s">
        <v>254</v>
      </c>
      <c r="E22" s="105" t="s">
        <v>270</v>
      </c>
      <c r="F22" s="532">
        <v>1437</v>
      </c>
      <c r="G22" s="662"/>
      <c r="H22" s="665"/>
      <c r="I22" s="647"/>
      <c r="J22" s="650"/>
      <c r="K22" s="653"/>
      <c r="L22" s="506" t="s">
        <v>238</v>
      </c>
    </row>
    <row r="25" spans="2:14" x14ac:dyDescent="0.25">
      <c r="J25" s="34"/>
    </row>
  </sheetData>
  <mergeCells count="15">
    <mergeCell ref="G3:H3"/>
    <mergeCell ref="C10:C13"/>
    <mergeCell ref="G10:G13"/>
    <mergeCell ref="C19:C22"/>
    <mergeCell ref="G19:G22"/>
    <mergeCell ref="H19:H22"/>
    <mergeCell ref="H10:H13"/>
    <mergeCell ref="I19:I22"/>
    <mergeCell ref="J19:J22"/>
    <mergeCell ref="K19:K22"/>
    <mergeCell ref="G4:H4"/>
    <mergeCell ref="G5:H5"/>
    <mergeCell ref="J10:J13"/>
    <mergeCell ref="K10:K13"/>
    <mergeCell ref="I10:I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D3037-F63B-472F-B94F-7DD4AA6D132A}">
  <dimension ref="B2:M32"/>
  <sheetViews>
    <sheetView zoomScale="80" zoomScaleNormal="80" workbookViewId="0">
      <selection activeCell="I14" sqref="I14"/>
    </sheetView>
  </sheetViews>
  <sheetFormatPr defaultColWidth="8.7109375" defaultRowHeight="15" x14ac:dyDescent="0.25"/>
  <cols>
    <col min="1" max="1" width="4.42578125" customWidth="1"/>
    <col min="2" max="2" width="26.5703125" customWidth="1"/>
    <col min="3" max="3" width="63.5703125" customWidth="1"/>
    <col min="4" max="4" width="27" customWidth="1"/>
    <col min="5" max="5" width="19.7109375" customWidth="1"/>
    <col min="6" max="6" width="12.7109375" customWidth="1"/>
    <col min="7" max="7" width="9.7109375" customWidth="1"/>
    <col min="8" max="8" width="14.42578125" customWidth="1"/>
    <col min="9" max="9" width="13.5703125" customWidth="1"/>
    <col min="10" max="10" width="26.7109375" customWidth="1"/>
    <col min="11" max="11" width="11.7109375" bestFit="1" customWidth="1"/>
  </cols>
  <sheetData>
    <row r="2" spans="2:11" x14ac:dyDescent="0.25">
      <c r="B2" s="98" t="s">
        <v>1154</v>
      </c>
    </row>
    <row r="3" spans="2:11" x14ac:dyDescent="0.25">
      <c r="B3" s="90" t="s">
        <v>9</v>
      </c>
    </row>
    <row r="4" spans="2:11" ht="32.65" customHeight="1" x14ac:dyDescent="0.25">
      <c r="B4" s="89" t="s">
        <v>7</v>
      </c>
      <c r="C4" s="557" t="s">
        <v>158</v>
      </c>
      <c r="D4" s="558"/>
      <c r="E4" s="88" t="s">
        <v>68</v>
      </c>
      <c r="F4" s="87" t="s">
        <v>4</v>
      </c>
      <c r="G4" s="454" t="s">
        <v>159</v>
      </c>
      <c r="H4" s="97" t="s">
        <v>166</v>
      </c>
      <c r="I4" s="102" t="s">
        <v>6</v>
      </c>
    </row>
    <row r="5" spans="2:11" ht="45" x14ac:dyDescent="0.25">
      <c r="B5" s="107">
        <v>2239</v>
      </c>
      <c r="C5" s="91" t="s">
        <v>167</v>
      </c>
      <c r="D5" s="92" t="s">
        <v>157</v>
      </c>
      <c r="E5" s="104"/>
      <c r="F5" s="93"/>
      <c r="G5" s="93">
        <v>12</v>
      </c>
      <c r="H5" s="93">
        <v>350</v>
      </c>
      <c r="I5" s="99">
        <f>G5*H5</f>
        <v>4200</v>
      </c>
    </row>
    <row r="6" spans="2:11" ht="45" x14ac:dyDescent="0.25">
      <c r="B6" s="107">
        <v>2244</v>
      </c>
      <c r="C6" s="108" t="s">
        <v>169</v>
      </c>
      <c r="D6" s="139" t="s">
        <v>168</v>
      </c>
      <c r="E6" s="105">
        <v>3000</v>
      </c>
      <c r="F6" s="93">
        <v>12</v>
      </c>
      <c r="G6" s="93">
        <f>9+12</f>
        <v>21</v>
      </c>
      <c r="H6" s="93">
        <v>0.22</v>
      </c>
      <c r="I6" s="100">
        <f>H6*E6*G6</f>
        <v>13860</v>
      </c>
    </row>
    <row r="7" spans="2:11" ht="30" x14ac:dyDescent="0.25">
      <c r="B7" s="107">
        <v>2244</v>
      </c>
      <c r="C7" s="94" t="s">
        <v>176</v>
      </c>
      <c r="D7" s="139" t="s">
        <v>175</v>
      </c>
      <c r="E7" s="105">
        <v>3000</v>
      </c>
      <c r="F7" s="93">
        <v>4</v>
      </c>
      <c r="G7" s="93">
        <f>4*2+8</f>
        <v>16</v>
      </c>
      <c r="H7" s="93">
        <v>0.22</v>
      </c>
      <c r="I7" s="100">
        <f>H7*E7*G7</f>
        <v>10560</v>
      </c>
    </row>
    <row r="8" spans="2:11" ht="60" x14ac:dyDescent="0.25">
      <c r="B8" s="107">
        <v>2244</v>
      </c>
      <c r="C8" s="95" t="s">
        <v>170</v>
      </c>
      <c r="D8" s="104"/>
      <c r="E8" s="105">
        <v>3000</v>
      </c>
      <c r="F8" s="93"/>
      <c r="G8" s="93"/>
      <c r="H8" s="96"/>
      <c r="I8" s="100">
        <f>8433.18+1377.6</f>
        <v>9810.7800000000007</v>
      </c>
    </row>
    <row r="9" spans="2:11" x14ac:dyDescent="0.25">
      <c r="B9" s="109">
        <v>2244</v>
      </c>
      <c r="C9" s="106" t="s">
        <v>171</v>
      </c>
      <c r="D9" s="104"/>
      <c r="E9" s="104"/>
      <c r="F9" s="96">
        <v>12</v>
      </c>
      <c r="G9" s="104"/>
      <c r="H9" s="96">
        <v>90</v>
      </c>
      <c r="I9" s="100">
        <f>F9*H9</f>
        <v>1080</v>
      </c>
    </row>
    <row r="10" spans="2:11" ht="30" x14ac:dyDescent="0.25">
      <c r="B10" s="107">
        <v>5000</v>
      </c>
      <c r="C10" s="95" t="s">
        <v>172</v>
      </c>
      <c r="D10" s="101" t="s">
        <v>164</v>
      </c>
      <c r="E10" s="104"/>
      <c r="F10" s="96"/>
      <c r="G10" s="110"/>
      <c r="H10" s="96"/>
      <c r="I10" s="100">
        <v>2350</v>
      </c>
    </row>
    <row r="11" spans="2:11" x14ac:dyDescent="0.25">
      <c r="I11" s="111">
        <f>SUM(I5:I10)</f>
        <v>41860.78</v>
      </c>
      <c r="K11" s="52"/>
    </row>
    <row r="12" spans="2:11" x14ac:dyDescent="0.25">
      <c r="B12" s="90" t="s">
        <v>12</v>
      </c>
    </row>
    <row r="13" spans="2:11" x14ac:dyDescent="0.25">
      <c r="B13" s="107">
        <v>1100</v>
      </c>
      <c r="C13" s="559" t="s">
        <v>10</v>
      </c>
      <c r="D13" s="559"/>
      <c r="E13" s="559"/>
      <c r="F13" s="559"/>
      <c r="G13" s="559"/>
      <c r="H13" s="559"/>
      <c r="I13" s="112">
        <v>5767.63</v>
      </c>
    </row>
    <row r="14" spans="2:11" x14ac:dyDescent="0.25">
      <c r="B14" s="107">
        <v>1200</v>
      </c>
      <c r="C14" s="559" t="s">
        <v>11</v>
      </c>
      <c r="D14" s="559"/>
      <c r="E14" s="559"/>
      <c r="F14" s="559"/>
      <c r="G14" s="559"/>
      <c r="H14" s="559"/>
      <c r="I14" s="112">
        <f>I13*0.2359</f>
        <v>1360.5839169999999</v>
      </c>
      <c r="J14" s="52"/>
      <c r="K14" s="52"/>
    </row>
    <row r="15" spans="2:11" x14ac:dyDescent="0.25">
      <c r="I15" s="63">
        <f>SUM(I13:I14)</f>
        <v>7128.213917</v>
      </c>
    </row>
    <row r="16" spans="2:11" x14ac:dyDescent="0.25">
      <c r="B16" t="s">
        <v>173</v>
      </c>
      <c r="G16" s="52"/>
      <c r="H16" s="52"/>
      <c r="I16" s="52"/>
      <c r="J16" s="113"/>
      <c r="K16" s="52"/>
    </row>
    <row r="17" spans="2:13" x14ac:dyDescent="0.25">
      <c r="F17" s="52"/>
    </row>
    <row r="19" spans="2:13" x14ac:dyDescent="0.25">
      <c r="B19" s="390" t="s">
        <v>329</v>
      </c>
      <c r="C19" s="373"/>
      <c r="D19" s="391"/>
      <c r="E19" s="373"/>
      <c r="F19" s="373"/>
      <c r="G19" s="373"/>
      <c r="H19" s="373"/>
      <c r="I19" s="373"/>
      <c r="J19" s="373"/>
      <c r="K19" s="373"/>
    </row>
    <row r="20" spans="2:13" x14ac:dyDescent="0.25">
      <c r="B20" s="390"/>
      <c r="C20" s="373"/>
      <c r="D20" s="391"/>
      <c r="E20" s="373"/>
      <c r="F20" s="373"/>
      <c r="G20" s="373"/>
      <c r="H20" s="373"/>
      <c r="I20" s="373"/>
      <c r="J20" s="373"/>
      <c r="K20" s="373"/>
    </row>
    <row r="21" spans="2:13" ht="51" x14ac:dyDescent="0.25">
      <c r="B21" s="392"/>
      <c r="C21" s="392"/>
      <c r="D21" s="392"/>
      <c r="E21" s="392"/>
      <c r="F21" s="393" t="s">
        <v>148</v>
      </c>
      <c r="G21" s="393" t="s">
        <v>250</v>
      </c>
      <c r="H21" s="394" t="s">
        <v>251</v>
      </c>
      <c r="I21" s="394" t="s">
        <v>252</v>
      </c>
      <c r="J21" s="394" t="s">
        <v>335</v>
      </c>
      <c r="K21" s="368" t="s">
        <v>1151</v>
      </c>
    </row>
    <row r="22" spans="2:13" x14ac:dyDescent="0.25">
      <c r="B22" s="441">
        <v>1100</v>
      </c>
      <c r="C22" s="442" t="s">
        <v>1150</v>
      </c>
      <c r="D22" s="443" t="s">
        <v>306</v>
      </c>
      <c r="E22" s="444"/>
      <c r="F22" s="445">
        <v>1100</v>
      </c>
      <c r="G22" s="446">
        <f t="shared" ref="G22:G27" si="0">F22/21/8</f>
        <v>6.5476190476190474</v>
      </c>
      <c r="H22" s="446">
        <f t="shared" ref="H22" si="1">G22/60</f>
        <v>0.10912698412698413</v>
      </c>
      <c r="I22" s="447">
        <v>80</v>
      </c>
      <c r="J22" s="448">
        <f>(I22*H22)*21</f>
        <v>183.33333333333334</v>
      </c>
      <c r="K22" s="449">
        <f>J22*12</f>
        <v>2200</v>
      </c>
    </row>
    <row r="23" spans="2:13" ht="25.5" x14ac:dyDescent="0.25">
      <c r="B23" s="441">
        <v>1100</v>
      </c>
      <c r="C23" s="450" t="s">
        <v>1152</v>
      </c>
      <c r="D23" s="443" t="s">
        <v>322</v>
      </c>
      <c r="E23" s="444"/>
      <c r="F23" s="445">
        <v>1644</v>
      </c>
      <c r="G23" s="446">
        <f t="shared" si="0"/>
        <v>9.7857142857142865</v>
      </c>
      <c r="H23" s="446">
        <f>G23/60</f>
        <v>0.1630952380952381</v>
      </c>
      <c r="I23" s="447">
        <f>60*24</f>
        <v>1440</v>
      </c>
      <c r="J23" s="448">
        <f>(I23*H23)</f>
        <v>234.85714285714286</v>
      </c>
      <c r="K23" s="449">
        <f>J23*12</f>
        <v>2818.2857142857142</v>
      </c>
    </row>
    <row r="24" spans="2:13" x14ac:dyDescent="0.25">
      <c r="B24" s="441">
        <v>1100</v>
      </c>
      <c r="C24" s="442" t="s">
        <v>1153</v>
      </c>
      <c r="D24" s="451" t="s">
        <v>282</v>
      </c>
      <c r="E24" s="444" t="s">
        <v>330</v>
      </c>
      <c r="F24" s="445">
        <v>2449</v>
      </c>
      <c r="G24" s="446">
        <f t="shared" si="0"/>
        <v>14.577380952380953</v>
      </c>
      <c r="H24" s="446">
        <f>G24/60</f>
        <v>0.2429563492063492</v>
      </c>
      <c r="I24" s="447">
        <v>59.99</v>
      </c>
      <c r="J24" s="448">
        <f>I24*H24</f>
        <v>14.57495138888889</v>
      </c>
      <c r="K24" s="449">
        <f t="shared" ref="K24:K25" si="2">J24*12</f>
        <v>174.89941666666667</v>
      </c>
    </row>
    <row r="25" spans="2:13" x14ac:dyDescent="0.25">
      <c r="B25" s="441">
        <v>1100</v>
      </c>
      <c r="C25" s="441" t="s">
        <v>255</v>
      </c>
      <c r="D25" s="452" t="s">
        <v>256</v>
      </c>
      <c r="E25" s="444" t="s">
        <v>257</v>
      </c>
      <c r="F25" s="445">
        <v>1250</v>
      </c>
      <c r="G25" s="446">
        <f t="shared" si="0"/>
        <v>7.4404761904761907</v>
      </c>
      <c r="H25" s="446">
        <f>G25/60</f>
        <v>0.12400793650793651</v>
      </c>
      <c r="I25" s="447">
        <v>60</v>
      </c>
      <c r="J25" s="448">
        <f>I25*H25</f>
        <v>7.4404761904761907</v>
      </c>
      <c r="K25" s="449">
        <f t="shared" si="2"/>
        <v>89.285714285714292</v>
      </c>
    </row>
    <row r="26" spans="2:13" x14ac:dyDescent="0.25">
      <c r="B26" s="441">
        <v>1100</v>
      </c>
      <c r="C26" s="441" t="s">
        <v>331</v>
      </c>
      <c r="D26" s="453" t="s">
        <v>212</v>
      </c>
      <c r="E26" s="444" t="s">
        <v>248</v>
      </c>
      <c r="F26" s="445">
        <v>1340</v>
      </c>
      <c r="G26" s="446">
        <f t="shared" si="0"/>
        <v>7.9761904761904763</v>
      </c>
      <c r="H26" s="446">
        <f>G26/60</f>
        <v>0.13293650793650794</v>
      </c>
      <c r="I26" s="447">
        <v>90</v>
      </c>
      <c r="J26" s="448">
        <f>I26*H26</f>
        <v>11.964285714285714</v>
      </c>
      <c r="K26" s="449">
        <f>J26*12</f>
        <v>143.57142857142856</v>
      </c>
    </row>
    <row r="27" spans="2:13" x14ac:dyDescent="0.25">
      <c r="B27" s="441">
        <v>1100</v>
      </c>
      <c r="C27" s="441" t="s">
        <v>333</v>
      </c>
      <c r="D27" s="453" t="s">
        <v>322</v>
      </c>
      <c r="E27" s="444" t="s">
        <v>332</v>
      </c>
      <c r="F27" s="445">
        <v>2300</v>
      </c>
      <c r="G27" s="446">
        <f t="shared" si="0"/>
        <v>13.69047619047619</v>
      </c>
      <c r="H27" s="446">
        <f>G27/60</f>
        <v>0.22817460317460317</v>
      </c>
      <c r="I27" s="447">
        <v>124.755</v>
      </c>
      <c r="J27" s="448">
        <f>I27*H27</f>
        <v>28.465922619047618</v>
      </c>
      <c r="K27" s="449">
        <f t="shared" ref="K27" si="3">J27*12</f>
        <v>341.59107142857141</v>
      </c>
    </row>
    <row r="28" spans="2:13" ht="15.75" thickBot="1" x14ac:dyDescent="0.3">
      <c r="B28" s="375"/>
      <c r="C28" s="375"/>
      <c r="D28" s="375"/>
      <c r="E28" s="407"/>
      <c r="F28" s="373"/>
      <c r="G28" s="375"/>
      <c r="H28" s="378"/>
      <c r="I28" s="375"/>
      <c r="J28" s="375"/>
      <c r="K28" s="408">
        <f>SUM(K22:K27)</f>
        <v>5767.633345238095</v>
      </c>
    </row>
    <row r="29" spans="2:13" ht="15.75" thickBot="1" x14ac:dyDescent="0.3">
      <c r="B29" s="375"/>
      <c r="C29" s="375"/>
      <c r="D29" s="375"/>
      <c r="E29" s="375"/>
      <c r="F29" s="375"/>
      <c r="G29" s="375"/>
      <c r="H29" s="378"/>
      <c r="I29" s="375"/>
      <c r="J29" s="375"/>
      <c r="K29" s="410">
        <f>SUM(K22:K27)</f>
        <v>5767.633345238095</v>
      </c>
      <c r="M29" s="52"/>
    </row>
    <row r="30" spans="2:13" x14ac:dyDescent="0.25">
      <c r="D30" s="375"/>
    </row>
    <row r="31" spans="2:13" x14ac:dyDescent="0.25">
      <c r="C31" s="375"/>
    </row>
    <row r="32" spans="2:13" x14ac:dyDescent="0.25">
      <c r="C32" s="375"/>
    </row>
  </sheetData>
  <mergeCells count="3">
    <mergeCell ref="C4:D4"/>
    <mergeCell ref="C13:H13"/>
    <mergeCell ref="C14:H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62022-7F4B-40FE-95C6-B5FD2F044AE2}">
  <sheetPr>
    <tabColor theme="0"/>
  </sheetPr>
  <dimension ref="A2:M13"/>
  <sheetViews>
    <sheetView zoomScale="110" zoomScaleNormal="110" workbookViewId="0">
      <selection activeCell="B11" sqref="B11"/>
    </sheetView>
  </sheetViews>
  <sheetFormatPr defaultColWidth="9.28515625" defaultRowHeight="15" x14ac:dyDescent="0.25"/>
  <cols>
    <col min="1" max="1" width="7" style="1" customWidth="1"/>
    <col min="2" max="2" width="43.28515625" style="1" customWidth="1"/>
    <col min="3" max="3" width="13.28515625" style="1" customWidth="1"/>
    <col min="4" max="5" width="9.28515625" style="1"/>
    <col min="6" max="6" width="14" style="1" customWidth="1"/>
    <col min="7" max="7" width="11.5703125" style="1" customWidth="1"/>
    <col min="8" max="8" width="14.5703125" style="1" bestFit="1" customWidth="1"/>
    <col min="9" max="9" width="11.5703125" style="1" customWidth="1"/>
    <col min="10" max="10" width="13.5703125" style="1" customWidth="1"/>
    <col min="11" max="11" width="10.42578125" style="1" bestFit="1" customWidth="1"/>
    <col min="12" max="16384" width="9.28515625" style="1"/>
  </cols>
  <sheetData>
    <row r="2" spans="1:13" x14ac:dyDescent="0.25">
      <c r="B2" s="560" t="s">
        <v>0</v>
      </c>
      <c r="C2" s="560"/>
      <c r="D2" s="560"/>
      <c r="E2" s="15"/>
    </row>
    <row r="4" spans="1:13" s="4" customFormat="1" ht="45" x14ac:dyDescent="0.25">
      <c r="A4" s="2"/>
      <c r="B4" s="2"/>
      <c r="C4" s="3" t="s">
        <v>30</v>
      </c>
      <c r="D4" s="3" t="s">
        <v>25</v>
      </c>
      <c r="E4" s="3" t="s">
        <v>14</v>
      </c>
      <c r="F4" s="3" t="s">
        <v>26</v>
      </c>
      <c r="G4" s="3" t="s">
        <v>28</v>
      </c>
      <c r="H4" s="3" t="s">
        <v>32</v>
      </c>
      <c r="I4" s="3" t="s">
        <v>29</v>
      </c>
      <c r="J4" s="3" t="s">
        <v>119</v>
      </c>
      <c r="K4" s="3" t="s">
        <v>121</v>
      </c>
      <c r="L4" s="42" t="s">
        <v>120</v>
      </c>
      <c r="M4" s="12"/>
    </row>
    <row r="5" spans="1:13" s="4" customFormat="1" ht="25.5" customHeight="1" x14ac:dyDescent="0.25">
      <c r="A5" s="2"/>
      <c r="B5" s="5" t="s">
        <v>1</v>
      </c>
      <c r="C5" s="6">
        <f>C6+C9</f>
        <v>11760</v>
      </c>
      <c r="D5" s="6">
        <f>D6+D9</f>
        <v>11760</v>
      </c>
      <c r="E5" s="6"/>
      <c r="F5" s="2"/>
      <c r="G5" s="2"/>
      <c r="H5" s="2"/>
      <c r="I5" s="2"/>
      <c r="J5" s="2"/>
      <c r="K5" s="2"/>
      <c r="L5" s="2"/>
    </row>
    <row r="6" spans="1:13" s="9" customFormat="1" ht="25.5" customHeight="1" x14ac:dyDescent="0.25">
      <c r="A6" s="7" t="s">
        <v>33</v>
      </c>
      <c r="B6" s="10" t="s">
        <v>35</v>
      </c>
      <c r="C6" s="20">
        <v>100</v>
      </c>
      <c r="D6" s="8">
        <v>100</v>
      </c>
      <c r="E6" s="437"/>
      <c r="F6" s="7" t="s">
        <v>27</v>
      </c>
      <c r="G6" s="43">
        <v>1</v>
      </c>
      <c r="H6" s="43">
        <f>D6*G6</f>
        <v>100</v>
      </c>
      <c r="I6" s="56">
        <f>ROUND(H6/H10,5)</f>
        <v>1.686E-2</v>
      </c>
      <c r="J6" s="43">
        <f>J10*I6</f>
        <v>825.95437140000001</v>
      </c>
      <c r="K6" s="54">
        <f>ROUND(J6/D6,2)</f>
        <v>8.26</v>
      </c>
      <c r="L6" s="439">
        <f>ROUND(K6*1.21,3)</f>
        <v>9.9949999999999992</v>
      </c>
    </row>
    <row r="7" spans="1:13" s="9" customFormat="1" x14ac:dyDescent="0.25">
      <c r="A7" s="7"/>
      <c r="B7" s="10" t="s">
        <v>2</v>
      </c>
      <c r="C7" s="21">
        <v>5000</v>
      </c>
      <c r="D7" s="8">
        <f t="shared" ref="D7:D9" si="0">C7</f>
        <v>5000</v>
      </c>
      <c r="E7" s="437"/>
      <c r="F7" s="7"/>
      <c r="G7" s="43"/>
      <c r="H7" s="43">
        <f t="shared" ref="H7:H8" si="1">D7*G7</f>
        <v>0</v>
      </c>
      <c r="I7" s="56"/>
      <c r="J7" s="43"/>
      <c r="K7" s="54"/>
      <c r="L7" s="54"/>
    </row>
    <row r="8" spans="1:13" s="9" customFormat="1" ht="25.5" customHeight="1" x14ac:dyDescent="0.25">
      <c r="A8" s="7"/>
      <c r="B8" s="10" t="s">
        <v>3</v>
      </c>
      <c r="C8" s="21">
        <v>6660</v>
      </c>
      <c r="D8" s="8">
        <f t="shared" si="0"/>
        <v>6660</v>
      </c>
      <c r="E8" s="437"/>
      <c r="F8" s="2"/>
      <c r="G8" s="43"/>
      <c r="H8" s="43">
        <f t="shared" si="1"/>
        <v>0</v>
      </c>
      <c r="I8" s="56"/>
      <c r="J8" s="43"/>
      <c r="K8" s="54"/>
      <c r="L8" s="54"/>
    </row>
    <row r="9" spans="1:13" s="9" customFormat="1" ht="30" x14ac:dyDescent="0.25">
      <c r="A9" s="7" t="s">
        <v>34</v>
      </c>
      <c r="B9" s="10" t="s">
        <v>36</v>
      </c>
      <c r="C9" s="21">
        <f>C7+C8</f>
        <v>11660</v>
      </c>
      <c r="D9" s="8">
        <f t="shared" si="0"/>
        <v>11660</v>
      </c>
      <c r="E9" s="55">
        <v>0.5</v>
      </c>
      <c r="F9" s="7" t="s">
        <v>37</v>
      </c>
      <c r="G9" s="43">
        <v>0.5</v>
      </c>
      <c r="H9" s="43">
        <f>D9*G9</f>
        <v>5830</v>
      </c>
      <c r="I9" s="56">
        <f>ROUND(H9/H10,5)</f>
        <v>0.98314000000000001</v>
      </c>
      <c r="J9" s="43">
        <f>J10*I9</f>
        <v>48163.035628599995</v>
      </c>
      <c r="K9" s="54">
        <f>ROUND(J9/D9,3)</f>
        <v>4.1310000000000002</v>
      </c>
      <c r="L9" s="439">
        <f>ROUND(K9*1.21,3)</f>
        <v>4.9989999999999997</v>
      </c>
    </row>
    <row r="10" spans="1:13" s="9" customFormat="1" x14ac:dyDescent="0.25">
      <c r="B10" s="1"/>
      <c r="C10" s="11"/>
      <c r="D10" s="11"/>
      <c r="E10" s="11"/>
      <c r="F10" s="16"/>
      <c r="G10" s="17"/>
      <c r="H10" s="17">
        <f>SUM(H6:H9)</f>
        <v>5930</v>
      </c>
      <c r="I10" s="18">
        <f>SUM(I6:I9)</f>
        <v>1</v>
      </c>
      <c r="J10" s="17">
        <v>48988.99</v>
      </c>
      <c r="K10" s="19"/>
    </row>
    <row r="11" spans="1:13" ht="19.5" customHeight="1" x14ac:dyDescent="0.25"/>
    <row r="12" spans="1:13" x14ac:dyDescent="0.25">
      <c r="J12" s="438"/>
      <c r="K12" s="440"/>
    </row>
    <row r="13" spans="1:13" x14ac:dyDescent="0.25">
      <c r="J13" s="438"/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06DAE-4CFB-4601-B6DA-AEBA77BA0258}">
  <dimension ref="A2:H22"/>
  <sheetViews>
    <sheetView zoomScaleNormal="100" workbookViewId="0">
      <selection activeCell="C24" sqref="C24"/>
    </sheetView>
  </sheetViews>
  <sheetFormatPr defaultRowHeight="15" x14ac:dyDescent="0.25"/>
  <cols>
    <col min="2" max="2" width="20" customWidth="1"/>
    <col min="3" max="3" width="24.28515625" customWidth="1"/>
    <col min="4" max="4" width="13.5703125" customWidth="1"/>
    <col min="5" max="5" width="11.28515625" customWidth="1"/>
    <col min="6" max="6" width="11" customWidth="1"/>
    <col min="7" max="7" width="11.5703125" customWidth="1"/>
    <col min="8" max="8" width="16.7109375" customWidth="1"/>
    <col min="9" max="9" width="15.5703125" customWidth="1"/>
  </cols>
  <sheetData>
    <row r="2" spans="1:8" ht="15.75" x14ac:dyDescent="0.25">
      <c r="A2" s="13" t="s">
        <v>126</v>
      </c>
      <c r="B2" s="13"/>
      <c r="C2" s="14"/>
      <c r="D2" s="14"/>
      <c r="E2" s="14"/>
      <c r="F2" s="14"/>
      <c r="G2" s="14"/>
      <c r="H2" s="14"/>
    </row>
    <row r="3" spans="1:8" x14ac:dyDescent="0.25">
      <c r="B3" s="27" t="s">
        <v>38</v>
      </c>
    </row>
    <row r="4" spans="1:8" ht="15.75" x14ac:dyDescent="0.25">
      <c r="A4" s="30"/>
      <c r="B4" s="561" t="s">
        <v>9</v>
      </c>
      <c r="C4" s="561"/>
      <c r="D4" s="561"/>
      <c r="E4" s="561"/>
      <c r="F4" s="561"/>
      <c r="G4" s="561"/>
      <c r="H4" s="32">
        <f>SUM(H5:H8)</f>
        <v>20.66</v>
      </c>
    </row>
    <row r="5" spans="1:8" ht="15" customHeight="1" x14ac:dyDescent="0.25">
      <c r="A5" s="22">
        <v>1100</v>
      </c>
      <c r="B5" s="562" t="s">
        <v>106</v>
      </c>
      <c r="C5" s="562"/>
      <c r="D5" s="562"/>
      <c r="E5" s="562"/>
      <c r="F5" s="562"/>
      <c r="G5" s="562"/>
      <c r="H5" s="25">
        <v>15.05</v>
      </c>
    </row>
    <row r="6" spans="1:8" ht="15" customHeight="1" x14ac:dyDescent="0.25">
      <c r="A6" s="23">
        <v>1200</v>
      </c>
      <c r="B6" s="562" t="s">
        <v>53</v>
      </c>
      <c r="C6" s="562"/>
      <c r="D6" s="562"/>
      <c r="E6" s="562"/>
      <c r="F6" s="562"/>
      <c r="G6" s="562"/>
      <c r="H6" s="25">
        <f>ROUND(H5*0.2359,2)</f>
        <v>3.55</v>
      </c>
    </row>
    <row r="7" spans="1:8" ht="15" customHeight="1" x14ac:dyDescent="0.25">
      <c r="A7" s="22">
        <v>2224</v>
      </c>
      <c r="B7" s="562" t="s">
        <v>90</v>
      </c>
      <c r="C7" s="562"/>
      <c r="D7" s="562"/>
      <c r="E7" s="562"/>
      <c r="F7" s="562"/>
      <c r="G7" s="562"/>
      <c r="H7" s="25">
        <f>G16</f>
        <v>0.61</v>
      </c>
    </row>
    <row r="8" spans="1:8" ht="15" customHeight="1" x14ac:dyDescent="0.25">
      <c r="A8" s="22">
        <v>2244</v>
      </c>
      <c r="B8" s="562" t="s">
        <v>72</v>
      </c>
      <c r="C8" s="562"/>
      <c r="D8" s="562"/>
      <c r="E8" s="562"/>
      <c r="F8" s="562"/>
      <c r="G8" s="562"/>
      <c r="H8" s="25">
        <f>G17</f>
        <v>1.45</v>
      </c>
    </row>
    <row r="9" spans="1:8" ht="15" customHeight="1" x14ac:dyDescent="0.25">
      <c r="A9" s="28"/>
      <c r="B9" s="561" t="s">
        <v>12</v>
      </c>
      <c r="C9" s="561"/>
      <c r="D9" s="561"/>
      <c r="E9" s="561"/>
      <c r="F9" s="561"/>
      <c r="G9" s="561"/>
      <c r="H9" s="29">
        <f>SUM(H10:H11)</f>
        <v>0</v>
      </c>
    </row>
    <row r="10" spans="1:8" ht="15" customHeight="1" x14ac:dyDescent="0.25">
      <c r="A10" s="22"/>
      <c r="B10" s="562"/>
      <c r="C10" s="562"/>
      <c r="D10" s="562"/>
      <c r="E10" s="562"/>
      <c r="F10" s="562"/>
      <c r="G10" s="562"/>
      <c r="H10" s="26"/>
    </row>
    <row r="11" spans="1:8" ht="15" customHeight="1" x14ac:dyDescent="0.25">
      <c r="A11" s="23"/>
      <c r="B11" s="562"/>
      <c r="C11" s="562"/>
      <c r="D11" s="562"/>
      <c r="E11" s="562"/>
      <c r="F11" s="562"/>
      <c r="G11" s="562"/>
      <c r="H11" s="26">
        <f>H10*0.2359</f>
        <v>0</v>
      </c>
    </row>
    <row r="12" spans="1:8" ht="15" customHeight="1" x14ac:dyDescent="0.25">
      <c r="A12" s="28"/>
      <c r="B12" s="561" t="s">
        <v>23</v>
      </c>
      <c r="C12" s="561"/>
      <c r="D12" s="561"/>
      <c r="E12" s="561"/>
      <c r="F12" s="561"/>
      <c r="G12" s="561"/>
      <c r="H12" s="31">
        <f>H4+H9</f>
        <v>20.66</v>
      </c>
    </row>
    <row r="13" spans="1:8" ht="15" customHeight="1" x14ac:dyDescent="0.25">
      <c r="A13" s="1"/>
      <c r="B13" s="59"/>
      <c r="C13" s="59"/>
      <c r="D13" s="60"/>
      <c r="E13" s="60"/>
      <c r="F13" s="60"/>
      <c r="G13" s="60"/>
      <c r="H13" s="61"/>
    </row>
    <row r="14" spans="1:8" x14ac:dyDescent="0.25">
      <c r="B14" s="24"/>
      <c r="C14" s="24"/>
      <c r="D14" s="563" t="s">
        <v>102</v>
      </c>
      <c r="E14" s="563"/>
      <c r="F14" s="563" t="s">
        <v>103</v>
      </c>
      <c r="G14" s="563"/>
    </row>
    <row r="15" spans="1:8" x14ac:dyDescent="0.25">
      <c r="B15" s="24"/>
      <c r="C15" s="24"/>
      <c r="D15" s="184" t="s">
        <v>49</v>
      </c>
      <c r="E15" s="184" t="s">
        <v>100</v>
      </c>
      <c r="F15" s="184" t="s">
        <v>104</v>
      </c>
      <c r="G15" s="184" t="s">
        <v>105</v>
      </c>
      <c r="H15" s="52"/>
    </row>
    <row r="16" spans="1:8" x14ac:dyDescent="0.25">
      <c r="B16" s="24" t="s">
        <v>99</v>
      </c>
      <c r="C16" s="24"/>
      <c r="D16" s="52">
        <v>150883.82000000004</v>
      </c>
      <c r="E16" s="41">
        <f>ROUND(D16/365,2)</f>
        <v>413.38</v>
      </c>
      <c r="F16" s="24">
        <v>683</v>
      </c>
      <c r="G16" s="24">
        <f>ROUND(E16/F16,2)</f>
        <v>0.61</v>
      </c>
      <c r="H16" s="52"/>
    </row>
    <row r="17" spans="2:7" x14ac:dyDescent="0.25">
      <c r="B17" s="24" t="s">
        <v>101</v>
      </c>
      <c r="C17" s="24"/>
      <c r="D17" s="41">
        <v>360984.05</v>
      </c>
      <c r="E17" s="41">
        <f>ROUND(D17/365,2)</f>
        <v>989</v>
      </c>
      <c r="F17" s="24">
        <v>683</v>
      </c>
      <c r="G17" s="24">
        <f>ROUND(E17/F17,2)</f>
        <v>1.45</v>
      </c>
    </row>
    <row r="18" spans="2:7" x14ac:dyDescent="0.25">
      <c r="D18" s="52"/>
      <c r="E18" s="52"/>
    </row>
    <row r="19" spans="2:7" x14ac:dyDescent="0.25">
      <c r="B19" s="110" t="s">
        <v>208</v>
      </c>
      <c r="C19" s="107">
        <v>12.21</v>
      </c>
      <c r="D19" s="186" t="s">
        <v>209</v>
      </c>
      <c r="E19" s="185">
        <f>60/60</f>
        <v>1</v>
      </c>
      <c r="F19" s="110">
        <f>C19*E19</f>
        <v>12.21</v>
      </c>
    </row>
    <row r="20" spans="2:7" x14ac:dyDescent="0.25">
      <c r="B20" s="110" t="s">
        <v>206</v>
      </c>
      <c r="C20" s="109">
        <v>7.44</v>
      </c>
      <c r="D20" s="110" t="s">
        <v>210</v>
      </c>
      <c r="E20" s="185">
        <f>22.9/60</f>
        <v>0.38166666666666665</v>
      </c>
      <c r="F20" s="77">
        <f>C20*E20</f>
        <v>2.8395999999999999</v>
      </c>
      <c r="G20" s="52"/>
    </row>
    <row r="22" spans="2:7" x14ac:dyDescent="0.25">
      <c r="E22" s="52"/>
      <c r="F22" s="52"/>
    </row>
  </sheetData>
  <mergeCells count="11">
    <mergeCell ref="B4:G4"/>
    <mergeCell ref="B5:G5"/>
    <mergeCell ref="B7:G7"/>
    <mergeCell ref="B8:G8"/>
    <mergeCell ref="D14:E14"/>
    <mergeCell ref="B6:G6"/>
    <mergeCell ref="F14:G14"/>
    <mergeCell ref="B9:G9"/>
    <mergeCell ref="B10:G10"/>
    <mergeCell ref="B12:G12"/>
    <mergeCell ref="B11:G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22CC8-94C8-4D57-8105-5619D4D79CCC}">
  <dimension ref="A1:K8"/>
  <sheetViews>
    <sheetView zoomScale="80" zoomScaleNormal="80" workbookViewId="0">
      <selection activeCell="B21" sqref="B21"/>
    </sheetView>
  </sheetViews>
  <sheetFormatPr defaultColWidth="8.7109375" defaultRowHeight="15.75" x14ac:dyDescent="0.25"/>
  <cols>
    <col min="1" max="1" width="12.28515625" style="181" customWidth="1"/>
    <col min="2" max="2" width="38.7109375" style="181" customWidth="1"/>
    <col min="3" max="3" width="22.28515625" style="181" customWidth="1"/>
    <col min="4" max="4" width="11.28515625" style="181" customWidth="1"/>
    <col min="5" max="5" width="8.7109375" style="181"/>
    <col min="6" max="6" width="11" style="181" customWidth="1"/>
    <col min="7" max="7" width="14.28515625" style="181" customWidth="1"/>
    <col min="8" max="8" width="20.7109375" style="181" customWidth="1"/>
    <col min="9" max="9" width="15.5703125" style="181" customWidth="1"/>
    <col min="10" max="16384" width="8.7109375" style="181"/>
  </cols>
  <sheetData>
    <row r="1" spans="1:11" x14ac:dyDescent="0.25">
      <c r="A1" s="44" t="s">
        <v>289</v>
      </c>
    </row>
    <row r="2" spans="1:11" x14ac:dyDescent="0.25">
      <c r="A2" s="313" t="s">
        <v>165</v>
      </c>
      <c r="B2" s="205"/>
      <c r="C2" s="180"/>
      <c r="D2" s="180"/>
      <c r="E2" s="180"/>
      <c r="F2" s="180"/>
      <c r="G2" s="180"/>
    </row>
    <row r="3" spans="1:11" x14ac:dyDescent="0.25">
      <c r="A3" s="320"/>
      <c r="B3" s="180"/>
      <c r="C3" s="180"/>
      <c r="D3" s="180"/>
      <c r="E3" s="180"/>
      <c r="F3" s="180"/>
      <c r="G3" s="180"/>
    </row>
    <row r="4" spans="1:11" x14ac:dyDescent="0.25">
      <c r="A4" s="273" t="s">
        <v>263</v>
      </c>
      <c r="B4" s="274"/>
    </row>
    <row r="5" spans="1:11" x14ac:dyDescent="0.25">
      <c r="A5" s="304" t="s">
        <v>165</v>
      </c>
      <c r="B5" s="274"/>
    </row>
    <row r="6" spans="1:11" ht="63" x14ac:dyDescent="0.25">
      <c r="E6" s="260" t="s">
        <v>148</v>
      </c>
      <c r="F6" s="260" t="s">
        <v>250</v>
      </c>
      <c r="G6" s="261" t="s">
        <v>251</v>
      </c>
      <c r="H6" s="261" t="s">
        <v>252</v>
      </c>
      <c r="I6" s="260" t="s">
        <v>13</v>
      </c>
    </row>
    <row r="7" spans="1:11" x14ac:dyDescent="0.25">
      <c r="A7" s="288">
        <v>1100</v>
      </c>
      <c r="B7" s="210" t="s">
        <v>292</v>
      </c>
      <c r="C7" s="203" t="s">
        <v>207</v>
      </c>
      <c r="D7" s="321" t="s">
        <v>253</v>
      </c>
      <c r="E7" s="322">
        <v>2051</v>
      </c>
      <c r="F7" s="296">
        <f>E7/21/8</f>
        <v>12.208333333333334</v>
      </c>
      <c r="G7" s="267">
        <f>F7/60</f>
        <v>0.20347222222222222</v>
      </c>
      <c r="H7" s="317">
        <v>152.35</v>
      </c>
      <c r="I7" s="318">
        <f>H7*G7</f>
        <v>30.998993055555555</v>
      </c>
      <c r="J7" s="262" t="s">
        <v>238</v>
      </c>
      <c r="K7" s="324">
        <f>SUM(I7:I8)</f>
        <v>33.428556547619046</v>
      </c>
    </row>
    <row r="8" spans="1:11" x14ac:dyDescent="0.25">
      <c r="A8" s="288">
        <v>1100</v>
      </c>
      <c r="B8" s="210" t="s">
        <v>291</v>
      </c>
      <c r="C8" s="323" t="s">
        <v>290</v>
      </c>
      <c r="D8" s="321" t="s">
        <v>253</v>
      </c>
      <c r="E8" s="322">
        <v>2449</v>
      </c>
      <c r="F8" s="296">
        <f>E8/21/8</f>
        <v>14.577380952380953</v>
      </c>
      <c r="G8" s="267">
        <f>F8/60</f>
        <v>0.2429563492063492</v>
      </c>
      <c r="H8" s="259">
        <v>10</v>
      </c>
      <c r="I8" s="246">
        <f>H8*G8</f>
        <v>2.4295634920634921</v>
      </c>
      <c r="J8" s="262" t="s">
        <v>238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8B032-E39B-4867-8DFF-00BFD2FA88F0}">
  <dimension ref="B2:U61"/>
  <sheetViews>
    <sheetView topLeftCell="A41" zoomScale="80" zoomScaleNormal="80" workbookViewId="0">
      <selection activeCell="M57" sqref="M57"/>
    </sheetView>
  </sheetViews>
  <sheetFormatPr defaultRowHeight="15" x14ac:dyDescent="0.25"/>
  <cols>
    <col min="1" max="1" width="5.42578125" customWidth="1"/>
    <col min="2" max="2" width="21.5703125" customWidth="1"/>
    <col min="3" max="3" width="21.28515625" customWidth="1"/>
    <col min="4" max="4" width="18.42578125" customWidth="1"/>
    <col min="5" max="5" width="10.5703125" customWidth="1"/>
    <col min="6" max="6" width="16.28515625" customWidth="1"/>
    <col min="7" max="7" width="10.5703125" bestFit="1" customWidth="1"/>
    <col min="8" max="8" width="12.7109375" customWidth="1"/>
    <col min="9" max="9" width="18.28515625" customWidth="1"/>
    <col min="10" max="10" width="10" customWidth="1"/>
    <col min="11" max="11" width="7.28515625" bestFit="1" customWidth="1"/>
    <col min="12" max="12" width="9.28515625" bestFit="1" customWidth="1"/>
    <col min="13" max="13" width="8.28515625" customWidth="1"/>
    <col min="14" max="14" width="8.7109375" customWidth="1"/>
    <col min="15" max="15" width="8.42578125" customWidth="1"/>
    <col min="16" max="16" width="9.28515625" bestFit="1" customWidth="1"/>
    <col min="17" max="17" width="7.7109375" customWidth="1"/>
    <col min="18" max="18" width="8.7109375" customWidth="1"/>
    <col min="19" max="19" width="7.7109375" customWidth="1"/>
    <col min="20" max="20" width="9.28515625" bestFit="1" customWidth="1"/>
  </cols>
  <sheetData>
    <row r="2" spans="2:20" ht="15.75" thickBot="1" x14ac:dyDescent="0.3">
      <c r="B2" s="487" t="s">
        <v>202</v>
      </c>
      <c r="C2" s="494" t="s">
        <v>137</v>
      </c>
      <c r="D2" s="484"/>
      <c r="E2" s="484"/>
      <c r="F2" s="484"/>
    </row>
    <row r="3" spans="2:20" ht="15.75" thickBot="1" x14ac:dyDescent="0.3">
      <c r="B3" s="486" t="s">
        <v>1160</v>
      </c>
      <c r="C3" s="485" t="s">
        <v>234</v>
      </c>
      <c r="D3" s="460"/>
      <c r="E3" s="134"/>
      <c r="F3" s="65"/>
    </row>
    <row r="5" spans="2:20" ht="43.15" customHeight="1" x14ac:dyDescent="0.25">
      <c r="B5" s="138"/>
      <c r="C5" s="462" t="s">
        <v>216</v>
      </c>
      <c r="D5" s="463"/>
      <c r="E5" s="107" t="s">
        <v>132</v>
      </c>
      <c r="F5" s="107" t="s">
        <v>133</v>
      </c>
      <c r="G5" s="464" t="s">
        <v>236</v>
      </c>
      <c r="H5" s="464"/>
      <c r="I5" s="465" t="s">
        <v>213</v>
      </c>
      <c r="J5" s="568" t="s">
        <v>50</v>
      </c>
      <c r="K5" s="569"/>
      <c r="L5" s="568" t="s">
        <v>51</v>
      </c>
      <c r="M5" s="569"/>
      <c r="N5" s="568" t="s">
        <v>111</v>
      </c>
      <c r="O5" s="569"/>
      <c r="P5" s="570" t="s">
        <v>112</v>
      </c>
      <c r="Q5" s="570"/>
      <c r="R5" s="571" t="s">
        <v>52</v>
      </c>
      <c r="S5" s="571"/>
    </row>
    <row r="6" spans="2:20" x14ac:dyDescent="0.25">
      <c r="B6" s="107">
        <v>2221</v>
      </c>
      <c r="C6" s="497" t="s">
        <v>221</v>
      </c>
      <c r="D6" s="477">
        <v>19061.28</v>
      </c>
      <c r="E6" s="112">
        <f>D6/12</f>
        <v>1588.4399999999998</v>
      </c>
      <c r="F6" s="112">
        <f>E6/21</f>
        <v>75.639999999999986</v>
      </c>
      <c r="G6" s="456">
        <f>F6/8</f>
        <v>9.4549999999999983</v>
      </c>
      <c r="H6" s="456">
        <v>941.1</v>
      </c>
      <c r="I6" s="490">
        <f>G6/H6</f>
        <v>1.0046753798746146E-2</v>
      </c>
      <c r="J6" s="24">
        <v>34</v>
      </c>
      <c r="K6" s="488">
        <f>I6*J6</f>
        <v>0.34158962915736896</v>
      </c>
      <c r="L6" s="24">
        <v>125</v>
      </c>
      <c r="M6" s="493">
        <f>L6*I6</f>
        <v>1.2558442248432682</v>
      </c>
      <c r="N6" s="24">
        <v>35</v>
      </c>
      <c r="O6" s="493">
        <f>N6*I6</f>
        <v>0.3516363829561151</v>
      </c>
      <c r="P6" s="491">
        <v>53</v>
      </c>
      <c r="Q6" s="493">
        <f>P6*I6</f>
        <v>0.5324779513335457</v>
      </c>
      <c r="R6" s="24">
        <v>55</v>
      </c>
      <c r="S6" s="493">
        <f>R6*I6</f>
        <v>0.55257145893103798</v>
      </c>
    </row>
    <row r="7" spans="2:20" x14ac:dyDescent="0.25">
      <c r="B7" s="107">
        <v>2223</v>
      </c>
      <c r="C7" s="497" t="s">
        <v>41</v>
      </c>
      <c r="D7" s="477">
        <v>2729.95</v>
      </c>
      <c r="E7" s="112">
        <f t="shared" ref="E7:E14" si="0">D7/12</f>
        <v>227.49583333333331</v>
      </c>
      <c r="F7" s="112">
        <f t="shared" ref="F7:F14" si="1">E7/21</f>
        <v>10.833134920634919</v>
      </c>
      <c r="G7" s="456">
        <f t="shared" ref="G7:G14" si="2">F7/8</f>
        <v>1.3541418650793648</v>
      </c>
      <c r="H7" s="456">
        <v>941.1</v>
      </c>
      <c r="I7" s="490">
        <f t="shared" ref="I7:I14" si="3">G7/H7</f>
        <v>1.4388926416739611E-3</v>
      </c>
      <c r="J7" s="24">
        <v>34</v>
      </c>
      <c r="K7" s="488">
        <f t="shared" ref="K7:K14" si="4">I7*J7</f>
        <v>4.8922349816914679E-2</v>
      </c>
      <c r="L7" s="24">
        <v>125</v>
      </c>
      <c r="M7" s="493">
        <f t="shared" ref="M7:M13" si="5">L7*I7</f>
        <v>0.17986158020924514</v>
      </c>
      <c r="N7" s="24">
        <v>35</v>
      </c>
      <c r="O7" s="493">
        <f t="shared" ref="O7:O14" si="6">N7*I7</f>
        <v>5.036124245858864E-2</v>
      </c>
      <c r="P7" s="491">
        <v>53</v>
      </c>
      <c r="Q7" s="493">
        <f t="shared" ref="Q7:Q14" si="7">P7*I7</f>
        <v>7.626131000871994E-2</v>
      </c>
      <c r="R7" s="24">
        <v>55</v>
      </c>
      <c r="S7" s="493">
        <f t="shared" ref="S7:S14" si="8">R7*I7</f>
        <v>7.9139095292067863E-2</v>
      </c>
    </row>
    <row r="8" spans="2:20" x14ac:dyDescent="0.25">
      <c r="B8" s="107">
        <v>2224</v>
      </c>
      <c r="C8" s="497" t="s">
        <v>42</v>
      </c>
      <c r="D8" s="472">
        <v>323.10000000000002</v>
      </c>
      <c r="E8" s="112">
        <f t="shared" si="0"/>
        <v>26.925000000000001</v>
      </c>
      <c r="F8" s="112">
        <f t="shared" si="1"/>
        <v>1.2821428571428573</v>
      </c>
      <c r="G8" s="456">
        <f t="shared" si="2"/>
        <v>0.16026785714285716</v>
      </c>
      <c r="H8" s="456">
        <v>941.1</v>
      </c>
      <c r="I8" s="490">
        <f t="shared" si="3"/>
        <v>1.7029843496212639E-4</v>
      </c>
      <c r="J8" s="24">
        <v>34</v>
      </c>
      <c r="K8" s="488">
        <f t="shared" si="4"/>
        <v>5.7901467887122972E-3</v>
      </c>
      <c r="L8" s="24">
        <v>125</v>
      </c>
      <c r="M8" s="493">
        <f t="shared" si="5"/>
        <v>2.1287304370265797E-2</v>
      </c>
      <c r="N8" s="24">
        <v>35</v>
      </c>
      <c r="O8" s="493">
        <f t="shared" si="6"/>
        <v>5.9604452236744236E-3</v>
      </c>
      <c r="P8" s="491">
        <v>53</v>
      </c>
      <c r="Q8" s="493">
        <f t="shared" si="7"/>
        <v>9.025817052992699E-3</v>
      </c>
      <c r="R8" s="24">
        <v>55</v>
      </c>
      <c r="S8" s="493">
        <f t="shared" si="8"/>
        <v>9.3664139229169517E-3</v>
      </c>
    </row>
    <row r="9" spans="2:20" x14ac:dyDescent="0.25">
      <c r="B9" s="107">
        <v>2222</v>
      </c>
      <c r="C9" s="497" t="s">
        <v>44</v>
      </c>
      <c r="D9" s="477">
        <v>763.01999999999987</v>
      </c>
      <c r="E9" s="112">
        <f t="shared" si="0"/>
        <v>63.584999999999987</v>
      </c>
      <c r="F9" s="112">
        <f t="shared" si="1"/>
        <v>3.0278571428571421</v>
      </c>
      <c r="G9" s="456">
        <f t="shared" si="2"/>
        <v>0.37848214285714277</v>
      </c>
      <c r="H9" s="456">
        <v>941.1</v>
      </c>
      <c r="I9" s="490">
        <f t="shared" si="3"/>
        <v>4.0216995309440311E-4</v>
      </c>
      <c r="J9" s="24">
        <v>34</v>
      </c>
      <c r="K9" s="488">
        <f t="shared" si="4"/>
        <v>1.3673778405209705E-2</v>
      </c>
      <c r="L9" s="24">
        <v>125</v>
      </c>
      <c r="M9" s="493">
        <f t="shared" si="5"/>
        <v>5.027124413680039E-2</v>
      </c>
      <c r="N9" s="24">
        <v>35</v>
      </c>
      <c r="O9" s="493">
        <f t="shared" si="6"/>
        <v>1.4075948358304108E-2</v>
      </c>
      <c r="P9" s="491">
        <v>53</v>
      </c>
      <c r="Q9" s="493">
        <f t="shared" si="7"/>
        <v>2.1315007514003365E-2</v>
      </c>
      <c r="R9" s="24">
        <v>55</v>
      </c>
      <c r="S9" s="493">
        <f t="shared" si="8"/>
        <v>2.211934742019217E-2</v>
      </c>
    </row>
    <row r="10" spans="2:20" x14ac:dyDescent="0.25">
      <c r="B10" s="107">
        <v>2244</v>
      </c>
      <c r="C10" s="329" t="s">
        <v>45</v>
      </c>
      <c r="D10" s="472">
        <v>11400</v>
      </c>
      <c r="E10" s="112">
        <f>D10/12</f>
        <v>950</v>
      </c>
      <c r="F10" s="112">
        <f t="shared" si="1"/>
        <v>45.238095238095241</v>
      </c>
      <c r="G10" s="456">
        <f t="shared" si="2"/>
        <v>5.6547619047619051</v>
      </c>
      <c r="H10" s="456">
        <v>941.1</v>
      </c>
      <c r="I10" s="490">
        <f t="shared" si="3"/>
        <v>6.0086727284687121E-3</v>
      </c>
      <c r="J10" s="24">
        <v>34</v>
      </c>
      <c r="K10" s="495">
        <f t="shared" si="4"/>
        <v>0.2042948727679362</v>
      </c>
      <c r="L10" s="24">
        <v>125</v>
      </c>
      <c r="M10" s="496">
        <f t="shared" si="5"/>
        <v>0.75108409105858898</v>
      </c>
      <c r="N10" s="24">
        <v>35</v>
      </c>
      <c r="O10" s="496">
        <f t="shared" si="6"/>
        <v>0.21030354549640493</v>
      </c>
      <c r="P10" s="491">
        <v>53</v>
      </c>
      <c r="Q10" s="496">
        <f t="shared" si="7"/>
        <v>0.31845965460884174</v>
      </c>
      <c r="R10" s="24">
        <v>55</v>
      </c>
      <c r="S10" s="496">
        <f t="shared" si="8"/>
        <v>0.33047700006577918</v>
      </c>
    </row>
    <row r="11" spans="2:20" x14ac:dyDescent="0.25">
      <c r="B11" s="107">
        <v>2244</v>
      </c>
      <c r="C11" s="497" t="s">
        <v>46</v>
      </c>
      <c r="D11" s="107"/>
      <c r="E11" s="112">
        <f>D11/12</f>
        <v>0</v>
      </c>
      <c r="F11" s="112">
        <f t="shared" si="1"/>
        <v>0</v>
      </c>
      <c r="G11" s="456">
        <f t="shared" si="2"/>
        <v>0</v>
      </c>
      <c r="H11" s="456">
        <v>941.1</v>
      </c>
      <c r="I11" s="490">
        <f t="shared" si="3"/>
        <v>0</v>
      </c>
      <c r="J11" s="24">
        <v>34</v>
      </c>
      <c r="K11" s="495">
        <f t="shared" si="4"/>
        <v>0</v>
      </c>
      <c r="L11" s="24">
        <v>125</v>
      </c>
      <c r="M11" s="496">
        <f t="shared" si="5"/>
        <v>0</v>
      </c>
      <c r="N11" s="24">
        <v>35</v>
      </c>
      <c r="O11" s="496">
        <f t="shared" si="6"/>
        <v>0</v>
      </c>
      <c r="P11" s="491">
        <v>53</v>
      </c>
      <c r="Q11" s="496">
        <f t="shared" si="7"/>
        <v>0</v>
      </c>
      <c r="R11" s="24">
        <v>55</v>
      </c>
      <c r="S11" s="496">
        <f t="shared" si="8"/>
        <v>0</v>
      </c>
    </row>
    <row r="12" spans="2:20" x14ac:dyDescent="0.25">
      <c r="B12" s="107">
        <v>2244</v>
      </c>
      <c r="C12" s="497" t="s">
        <v>211</v>
      </c>
      <c r="D12" s="480">
        <v>3873.57</v>
      </c>
      <c r="E12" s="112">
        <f>D12/12</f>
        <v>322.79750000000001</v>
      </c>
      <c r="F12" s="112">
        <f>E12/21</f>
        <v>15.371309523809524</v>
      </c>
      <c r="G12" s="456">
        <f>F12/8</f>
        <v>1.9214136904761905</v>
      </c>
      <c r="H12" s="456">
        <v>941.1</v>
      </c>
      <c r="I12" s="490">
        <f t="shared" si="3"/>
        <v>2.0416679316503988E-3</v>
      </c>
      <c r="J12" s="24">
        <v>34</v>
      </c>
      <c r="K12" s="488">
        <f t="shared" si="4"/>
        <v>6.9416709676113561E-2</v>
      </c>
      <c r="L12" s="24">
        <v>125</v>
      </c>
      <c r="M12" s="493">
        <f t="shared" si="5"/>
        <v>0.25520849145629987</v>
      </c>
      <c r="N12" s="24">
        <v>35</v>
      </c>
      <c r="O12" s="493">
        <f>N12*I12</f>
        <v>7.1458377607763954E-2</v>
      </c>
      <c r="P12" s="491">
        <v>53</v>
      </c>
      <c r="Q12" s="493">
        <f t="shared" si="7"/>
        <v>0.10820840037747113</v>
      </c>
      <c r="R12" s="24">
        <v>55</v>
      </c>
      <c r="S12" s="493">
        <f t="shared" si="8"/>
        <v>0.11229173624077193</v>
      </c>
    </row>
    <row r="13" spans="2:20" x14ac:dyDescent="0.25">
      <c r="B13" s="107">
        <v>2350</v>
      </c>
      <c r="C13" s="497" t="s">
        <v>47</v>
      </c>
      <c r="D13" s="472">
        <v>3158</v>
      </c>
      <c r="E13" s="112">
        <f t="shared" si="0"/>
        <v>263.16666666666669</v>
      </c>
      <c r="F13" s="112">
        <f t="shared" si="1"/>
        <v>12.531746031746033</v>
      </c>
      <c r="G13" s="456">
        <f t="shared" si="2"/>
        <v>1.5664682539682542</v>
      </c>
      <c r="H13" s="456">
        <v>941.1</v>
      </c>
      <c r="I13" s="490">
        <f t="shared" si="3"/>
        <v>1.6645077610968591E-3</v>
      </c>
      <c r="J13" s="24">
        <v>34</v>
      </c>
      <c r="K13" s="488">
        <f t="shared" si="4"/>
        <v>5.6593263877293208E-2</v>
      </c>
      <c r="L13" s="24">
        <v>125</v>
      </c>
      <c r="M13" s="493">
        <f t="shared" si="5"/>
        <v>0.20806347013710738</v>
      </c>
      <c r="N13" s="24">
        <v>35</v>
      </c>
      <c r="O13" s="493">
        <f t="shared" si="6"/>
        <v>5.825777163839007E-2</v>
      </c>
      <c r="P13" s="491">
        <v>53</v>
      </c>
      <c r="Q13" s="493">
        <f t="shared" si="7"/>
        <v>8.8218911338133532E-2</v>
      </c>
      <c r="R13" s="24">
        <v>55</v>
      </c>
      <c r="S13" s="493">
        <f t="shared" si="8"/>
        <v>9.1547926860327256E-2</v>
      </c>
    </row>
    <row r="14" spans="2:20" x14ac:dyDescent="0.25">
      <c r="B14" s="107">
        <v>5000</v>
      </c>
      <c r="C14" s="329" t="s">
        <v>21</v>
      </c>
      <c r="D14" s="472">
        <v>290.39999999999998</v>
      </c>
      <c r="E14" s="112">
        <f t="shared" si="0"/>
        <v>24.2</v>
      </c>
      <c r="F14" s="112">
        <f t="shared" si="1"/>
        <v>1.1523809523809523</v>
      </c>
      <c r="G14" s="456">
        <f t="shared" si="2"/>
        <v>0.14404761904761904</v>
      </c>
      <c r="H14" s="456">
        <v>941.1</v>
      </c>
      <c r="I14" s="490">
        <f t="shared" si="3"/>
        <v>1.5306303160941349E-4</v>
      </c>
      <c r="J14" s="24">
        <v>34</v>
      </c>
      <c r="K14" s="488">
        <f t="shared" si="4"/>
        <v>5.2041430747200587E-3</v>
      </c>
      <c r="L14" s="24">
        <v>125</v>
      </c>
      <c r="M14" s="493">
        <f>L14*I14</f>
        <v>1.9132878951176685E-2</v>
      </c>
      <c r="N14" s="24">
        <v>35</v>
      </c>
      <c r="O14" s="493">
        <f t="shared" si="6"/>
        <v>5.3572061063294719E-3</v>
      </c>
      <c r="P14" s="491">
        <v>53</v>
      </c>
      <c r="Q14" s="493">
        <f t="shared" si="7"/>
        <v>8.1123406752989149E-3</v>
      </c>
      <c r="R14" s="24">
        <v>55</v>
      </c>
      <c r="S14" s="493">
        <f t="shared" si="8"/>
        <v>8.4184667385177412E-3</v>
      </c>
    </row>
    <row r="15" spans="2:20" x14ac:dyDescent="0.25">
      <c r="B15" s="107"/>
      <c r="C15" s="462" t="s">
        <v>23</v>
      </c>
      <c r="D15" s="474">
        <f>SUM(D6:D14)</f>
        <v>41599.32</v>
      </c>
      <c r="E15" s="474">
        <f>SUM(E6:E14)</f>
        <v>3466.6099999999997</v>
      </c>
      <c r="F15" s="474">
        <f>SUM(F6:F14)</f>
        <v>165.07666666666663</v>
      </c>
      <c r="G15" s="463">
        <f>SUM(G6:G14)</f>
        <v>20.634583333333328</v>
      </c>
      <c r="H15" s="489"/>
      <c r="I15" s="475"/>
    </row>
    <row r="16" spans="2:20" x14ac:dyDescent="0.25">
      <c r="J16" s="52">
        <f>J14</f>
        <v>34</v>
      </c>
      <c r="L16" s="52">
        <f>L14</f>
        <v>125</v>
      </c>
      <c r="N16" s="52">
        <f>N14</f>
        <v>35</v>
      </c>
      <c r="P16" s="52">
        <f>P14</f>
        <v>53</v>
      </c>
      <c r="Q16" s="52"/>
      <c r="R16">
        <f>R14</f>
        <v>55</v>
      </c>
      <c r="T16" s="52">
        <f>SUM(J16:S16)</f>
        <v>302</v>
      </c>
    </row>
    <row r="17" spans="2:21" x14ac:dyDescent="0.25">
      <c r="B17" s="476"/>
      <c r="C17" s="476"/>
      <c r="D17" s="14"/>
      <c r="E17" s="14"/>
      <c r="F17" s="14"/>
      <c r="G17" s="14"/>
      <c r="H17" s="14"/>
      <c r="J17" s="34">
        <f>J16/T16</f>
        <v>0.11258278145695365</v>
      </c>
      <c r="K17" s="34"/>
      <c r="L17" s="34">
        <f>L16/T16</f>
        <v>0.41390728476821192</v>
      </c>
      <c r="M17" s="34"/>
      <c r="N17" s="34">
        <f>N16/T16</f>
        <v>0.11589403973509933</v>
      </c>
      <c r="O17" s="34"/>
      <c r="P17" s="34">
        <f>P16/T16</f>
        <v>0.17549668874172186</v>
      </c>
      <c r="R17" s="52">
        <f>R16/T16</f>
        <v>0.18211920529801323</v>
      </c>
    </row>
    <row r="18" spans="2:21" x14ac:dyDescent="0.25">
      <c r="B18" s="476"/>
      <c r="C18" s="476"/>
      <c r="D18" s="14"/>
      <c r="E18" s="14"/>
      <c r="F18" s="14"/>
      <c r="G18" s="14"/>
      <c r="H18" s="14"/>
      <c r="J18" s="34">
        <f>J17*60</f>
        <v>6.7549668874172193</v>
      </c>
      <c r="K18" s="34"/>
      <c r="L18" s="34">
        <f t="shared" ref="L18:P18" si="9">L17*60</f>
        <v>24.834437086092716</v>
      </c>
      <c r="M18" s="34"/>
      <c r="N18" s="34">
        <f t="shared" si="9"/>
        <v>6.9536423841059598</v>
      </c>
      <c r="O18" s="34"/>
      <c r="P18" s="34">
        <f t="shared" si="9"/>
        <v>10.529801324503312</v>
      </c>
      <c r="R18" s="52">
        <f>R17*60</f>
        <v>10.927152317880793</v>
      </c>
      <c r="T18" t="s">
        <v>214</v>
      </c>
      <c r="U18" t="s">
        <v>215</v>
      </c>
    </row>
    <row r="23" spans="2:21" x14ac:dyDescent="0.25">
      <c r="B23" s="564" t="s">
        <v>247</v>
      </c>
      <c r="C23" s="564"/>
      <c r="D23" s="572" t="s">
        <v>1161</v>
      </c>
      <c r="E23" s="573"/>
    </row>
    <row r="24" spans="2:21" ht="60" x14ac:dyDescent="0.25">
      <c r="F24" s="333" t="s">
        <v>148</v>
      </c>
      <c r="G24" s="333" t="s">
        <v>250</v>
      </c>
      <c r="H24" s="501" t="s">
        <v>251</v>
      </c>
      <c r="I24" s="501" t="s">
        <v>252</v>
      </c>
      <c r="J24" s="333" t="s">
        <v>13</v>
      </c>
    </row>
    <row r="25" spans="2:21" ht="60" x14ac:dyDescent="0.25">
      <c r="B25" s="502">
        <v>1100</v>
      </c>
      <c r="C25" s="457" t="s">
        <v>259</v>
      </c>
      <c r="D25" s="341" t="s">
        <v>1157</v>
      </c>
      <c r="E25" s="498" t="s">
        <v>253</v>
      </c>
      <c r="F25" s="499">
        <v>1250</v>
      </c>
      <c r="G25" s="500">
        <f t="shared" ref="G25:G30" si="10">F25/21/8</f>
        <v>7.4404761904761907</v>
      </c>
      <c r="H25" s="503">
        <f t="shared" ref="H25:H30" si="11">G25/60</f>
        <v>0.12400793650793651</v>
      </c>
      <c r="I25" s="504">
        <v>30.76</v>
      </c>
      <c r="J25" s="505">
        <f t="shared" ref="J25:J30" si="12">I25*H25</f>
        <v>3.8144841269841274</v>
      </c>
      <c r="K25" s="506" t="s">
        <v>238</v>
      </c>
      <c r="L25" s="507">
        <f>SUM(J25:J29)</f>
        <v>15.450892857142858</v>
      </c>
      <c r="M25" s="65" t="s">
        <v>262</v>
      </c>
    </row>
    <row r="26" spans="2:21" x14ac:dyDescent="0.25">
      <c r="B26" s="502">
        <v>1100</v>
      </c>
      <c r="C26" s="457" t="s">
        <v>261</v>
      </c>
      <c r="D26" s="91" t="s">
        <v>228</v>
      </c>
      <c r="E26" s="498" t="s">
        <v>253</v>
      </c>
      <c r="F26" s="265">
        <v>2051</v>
      </c>
      <c r="G26" s="500">
        <f t="shared" si="10"/>
        <v>12.208333333333334</v>
      </c>
      <c r="H26" s="503">
        <f t="shared" si="11"/>
        <v>0.20347222222222222</v>
      </c>
      <c r="I26" s="504">
        <v>15</v>
      </c>
      <c r="J26" s="505">
        <f>I26*H26</f>
        <v>3.0520833333333335</v>
      </c>
      <c r="K26" s="506" t="s">
        <v>238</v>
      </c>
    </row>
    <row r="27" spans="2:21" x14ac:dyDescent="0.25">
      <c r="B27" s="502">
        <v>1100</v>
      </c>
      <c r="C27" s="457" t="s">
        <v>260</v>
      </c>
      <c r="D27" s="91" t="s">
        <v>228</v>
      </c>
      <c r="E27" s="498" t="s">
        <v>253</v>
      </c>
      <c r="F27" s="265">
        <v>2051</v>
      </c>
      <c r="G27" s="500">
        <f t="shared" si="10"/>
        <v>12.208333333333334</v>
      </c>
      <c r="H27" s="503">
        <f t="shared" si="11"/>
        <v>0.20347222222222222</v>
      </c>
      <c r="I27" s="504">
        <v>10</v>
      </c>
      <c r="J27" s="505">
        <f t="shared" si="12"/>
        <v>2.0347222222222223</v>
      </c>
      <c r="K27" s="506" t="s">
        <v>238</v>
      </c>
    </row>
    <row r="28" spans="2:21" x14ac:dyDescent="0.25">
      <c r="B28" s="502">
        <v>1100</v>
      </c>
      <c r="C28" s="457" t="s">
        <v>258</v>
      </c>
      <c r="D28" s="91" t="s">
        <v>228</v>
      </c>
      <c r="E28" s="498" t="s">
        <v>253</v>
      </c>
      <c r="F28" s="265">
        <v>2051</v>
      </c>
      <c r="G28" s="500">
        <f t="shared" si="10"/>
        <v>12.208333333333334</v>
      </c>
      <c r="H28" s="503">
        <f t="shared" si="11"/>
        <v>0.20347222222222222</v>
      </c>
      <c r="I28" s="504">
        <v>20</v>
      </c>
      <c r="J28" s="505">
        <f t="shared" si="12"/>
        <v>4.0694444444444446</v>
      </c>
      <c r="K28" s="506" t="s">
        <v>238</v>
      </c>
    </row>
    <row r="29" spans="2:21" x14ac:dyDescent="0.25">
      <c r="B29" s="502">
        <v>1100</v>
      </c>
      <c r="C29" s="502" t="s">
        <v>255</v>
      </c>
      <c r="D29" s="498" t="s">
        <v>256</v>
      </c>
      <c r="E29" s="498" t="s">
        <v>257</v>
      </c>
      <c r="F29" s="499">
        <v>1250</v>
      </c>
      <c r="G29" s="500">
        <f t="shared" si="10"/>
        <v>7.4404761904761907</v>
      </c>
      <c r="H29" s="503">
        <f t="shared" si="11"/>
        <v>0.12400793650793651</v>
      </c>
      <c r="I29" s="504">
        <v>20</v>
      </c>
      <c r="J29" s="505">
        <f t="shared" si="12"/>
        <v>2.4801587301587302</v>
      </c>
      <c r="K29" s="506" t="s">
        <v>238</v>
      </c>
    </row>
    <row r="30" spans="2:21" x14ac:dyDescent="0.25">
      <c r="B30" s="502">
        <v>1100</v>
      </c>
      <c r="C30" s="502" t="s">
        <v>249</v>
      </c>
      <c r="D30" s="91" t="s">
        <v>212</v>
      </c>
      <c r="E30" s="498" t="s">
        <v>248</v>
      </c>
      <c r="F30" s="499">
        <v>1340</v>
      </c>
      <c r="G30" s="500">
        <f t="shared" si="10"/>
        <v>7.9761904761904763</v>
      </c>
      <c r="H30" s="503">
        <f t="shared" si="11"/>
        <v>0.13293650793650794</v>
      </c>
      <c r="I30" s="504">
        <v>5</v>
      </c>
      <c r="J30" s="505">
        <f t="shared" si="12"/>
        <v>0.66468253968253965</v>
      </c>
      <c r="K30" s="471" t="s">
        <v>237</v>
      </c>
    </row>
    <row r="33" spans="2:13" ht="14.65" customHeight="1" x14ac:dyDescent="0.25">
      <c r="B33" s="564" t="s">
        <v>247</v>
      </c>
      <c r="C33" s="564"/>
      <c r="D33" s="565" t="s">
        <v>51</v>
      </c>
      <c r="E33" s="566"/>
    </row>
    <row r="34" spans="2:13" ht="60" x14ac:dyDescent="0.25">
      <c r="F34" s="333" t="s">
        <v>148</v>
      </c>
      <c r="G34" s="333" t="s">
        <v>250</v>
      </c>
      <c r="H34" s="501" t="s">
        <v>251</v>
      </c>
      <c r="I34" s="501" t="s">
        <v>252</v>
      </c>
      <c r="J34" s="333" t="s">
        <v>13</v>
      </c>
    </row>
    <row r="35" spans="2:13" ht="60" x14ac:dyDescent="0.25">
      <c r="B35" s="502">
        <v>1100</v>
      </c>
      <c r="C35" s="457" t="s">
        <v>259</v>
      </c>
      <c r="D35" s="341" t="s">
        <v>1157</v>
      </c>
      <c r="E35" s="498" t="s">
        <v>253</v>
      </c>
      <c r="F35" s="499">
        <v>1250</v>
      </c>
      <c r="G35" s="500">
        <f t="shared" ref="G35:G40" si="13">F35/21/8</f>
        <v>7.4404761904761907</v>
      </c>
      <c r="H35" s="503">
        <f t="shared" ref="H35:H40" si="14">G35/60</f>
        <v>0.12400793650793651</v>
      </c>
      <c r="I35" s="504">
        <v>45</v>
      </c>
      <c r="J35" s="505">
        <f t="shared" ref="J35" si="15">I35*H35</f>
        <v>5.5803571428571432</v>
      </c>
      <c r="K35" s="506" t="s">
        <v>238</v>
      </c>
      <c r="L35" s="507">
        <f>SUM(J35:J39)</f>
        <v>20.523189484126984</v>
      </c>
      <c r="M35" s="65" t="s">
        <v>262</v>
      </c>
    </row>
    <row r="36" spans="2:13" x14ac:dyDescent="0.25">
      <c r="B36" s="502">
        <v>1100</v>
      </c>
      <c r="C36" s="457" t="s">
        <v>261</v>
      </c>
      <c r="D36" s="91" t="s">
        <v>228</v>
      </c>
      <c r="E36" s="498" t="s">
        <v>253</v>
      </c>
      <c r="F36" s="265">
        <v>2051</v>
      </c>
      <c r="G36" s="500">
        <f t="shared" si="13"/>
        <v>12.208333333333334</v>
      </c>
      <c r="H36" s="503">
        <f t="shared" si="14"/>
        <v>0.20347222222222222</v>
      </c>
      <c r="I36" s="504">
        <v>31.25</v>
      </c>
      <c r="J36" s="505">
        <f>I36*H36</f>
        <v>6.3585069444444446</v>
      </c>
      <c r="K36" s="506" t="s">
        <v>238</v>
      </c>
    </row>
    <row r="37" spans="2:13" x14ac:dyDescent="0.25">
      <c r="B37" s="502">
        <v>1100</v>
      </c>
      <c r="C37" s="457" t="s">
        <v>260</v>
      </c>
      <c r="D37" s="91" t="s">
        <v>228</v>
      </c>
      <c r="E37" s="498" t="s">
        <v>253</v>
      </c>
      <c r="F37" s="265">
        <v>2051</v>
      </c>
      <c r="G37" s="500">
        <f t="shared" si="13"/>
        <v>12.208333333333334</v>
      </c>
      <c r="H37" s="503">
        <f t="shared" si="14"/>
        <v>0.20347222222222222</v>
      </c>
      <c r="I37" s="504">
        <v>10</v>
      </c>
      <c r="J37" s="505">
        <f t="shared" ref="J37:J40" si="16">I37*H37</f>
        <v>2.0347222222222223</v>
      </c>
      <c r="K37" s="506" t="s">
        <v>238</v>
      </c>
    </row>
    <row r="38" spans="2:13" x14ac:dyDescent="0.25">
      <c r="B38" s="502">
        <v>1100</v>
      </c>
      <c r="C38" s="457" t="s">
        <v>258</v>
      </c>
      <c r="D38" s="91" t="s">
        <v>228</v>
      </c>
      <c r="E38" s="498" t="s">
        <v>253</v>
      </c>
      <c r="F38" s="265">
        <v>2051</v>
      </c>
      <c r="G38" s="500">
        <f t="shared" si="13"/>
        <v>12.208333333333334</v>
      </c>
      <c r="H38" s="503">
        <f t="shared" si="14"/>
        <v>0.20347222222222222</v>
      </c>
      <c r="I38" s="504">
        <v>20</v>
      </c>
      <c r="J38" s="505">
        <f t="shared" si="16"/>
        <v>4.0694444444444446</v>
      </c>
      <c r="K38" s="506" t="s">
        <v>238</v>
      </c>
    </row>
    <row r="39" spans="2:13" x14ac:dyDescent="0.25">
      <c r="B39" s="502">
        <v>1100</v>
      </c>
      <c r="C39" s="502" t="s">
        <v>255</v>
      </c>
      <c r="D39" s="498" t="s">
        <v>256</v>
      </c>
      <c r="E39" s="498" t="s">
        <v>257</v>
      </c>
      <c r="F39" s="499">
        <v>1250</v>
      </c>
      <c r="G39" s="500">
        <f t="shared" si="13"/>
        <v>7.4404761904761907</v>
      </c>
      <c r="H39" s="503">
        <f t="shared" si="14"/>
        <v>0.12400793650793651</v>
      </c>
      <c r="I39" s="504">
        <v>20</v>
      </c>
      <c r="J39" s="505">
        <f t="shared" si="16"/>
        <v>2.4801587301587302</v>
      </c>
      <c r="K39" s="506" t="s">
        <v>238</v>
      </c>
    </row>
    <row r="40" spans="2:13" x14ac:dyDescent="0.25">
      <c r="B40" s="502">
        <v>1100</v>
      </c>
      <c r="C40" s="502" t="s">
        <v>249</v>
      </c>
      <c r="D40" s="91" t="s">
        <v>212</v>
      </c>
      <c r="E40" s="498" t="s">
        <v>248</v>
      </c>
      <c r="F40" s="499">
        <v>1340</v>
      </c>
      <c r="G40" s="500">
        <f t="shared" si="13"/>
        <v>7.9761904761904763</v>
      </c>
      <c r="H40" s="503">
        <f t="shared" si="14"/>
        <v>0.13293650793650794</v>
      </c>
      <c r="I40" s="504">
        <v>5</v>
      </c>
      <c r="J40" s="505">
        <f t="shared" si="16"/>
        <v>0.66468253968253965</v>
      </c>
      <c r="K40" s="471" t="s">
        <v>237</v>
      </c>
    </row>
    <row r="44" spans="2:13" x14ac:dyDescent="0.25">
      <c r="B44" s="564" t="s">
        <v>247</v>
      </c>
      <c r="C44" s="564"/>
      <c r="D44" s="565" t="s">
        <v>111</v>
      </c>
      <c r="E44" s="566"/>
    </row>
    <row r="45" spans="2:13" ht="60" x14ac:dyDescent="0.25">
      <c r="F45" s="333" t="s">
        <v>148</v>
      </c>
      <c r="G45" s="333" t="s">
        <v>250</v>
      </c>
      <c r="H45" s="501" t="s">
        <v>251</v>
      </c>
      <c r="I45" s="501" t="s">
        <v>252</v>
      </c>
      <c r="J45" s="333" t="s">
        <v>13</v>
      </c>
    </row>
    <row r="46" spans="2:13" ht="60" x14ac:dyDescent="0.25">
      <c r="B46" s="502">
        <v>1100</v>
      </c>
      <c r="C46" s="457" t="s">
        <v>259</v>
      </c>
      <c r="D46" s="341" t="s">
        <v>1157</v>
      </c>
      <c r="E46" s="498" t="s">
        <v>253</v>
      </c>
      <c r="F46" s="499">
        <v>1250</v>
      </c>
      <c r="G46" s="500">
        <f t="shared" ref="G46:G51" si="17">F46/21/8</f>
        <v>7.4404761904761907</v>
      </c>
      <c r="H46" s="503">
        <f t="shared" ref="H46:H51" si="18">G46/60</f>
        <v>0.12400793650793651</v>
      </c>
      <c r="I46" s="504">
        <v>30.6</v>
      </c>
      <c r="J46" s="505">
        <f t="shared" ref="J46" si="19">I46*H46</f>
        <v>3.7946428571428572</v>
      </c>
      <c r="K46" s="506" t="s">
        <v>238</v>
      </c>
      <c r="L46" s="507">
        <f>SUM(J46:J50)</f>
        <v>15.431051587301589</v>
      </c>
      <c r="M46" s="65" t="s">
        <v>262</v>
      </c>
    </row>
    <row r="47" spans="2:13" x14ac:dyDescent="0.25">
      <c r="B47" s="502">
        <v>1100</v>
      </c>
      <c r="C47" s="457" t="s">
        <v>261</v>
      </c>
      <c r="D47" s="91" t="s">
        <v>228</v>
      </c>
      <c r="E47" s="498" t="s">
        <v>253</v>
      </c>
      <c r="F47" s="265">
        <v>2051</v>
      </c>
      <c r="G47" s="500">
        <f t="shared" si="17"/>
        <v>12.208333333333334</v>
      </c>
      <c r="H47" s="503">
        <f t="shared" si="18"/>
        <v>0.20347222222222222</v>
      </c>
      <c r="I47" s="504">
        <v>15</v>
      </c>
      <c r="J47" s="505">
        <f>I47*H47</f>
        <v>3.0520833333333335</v>
      </c>
      <c r="K47" s="506" t="s">
        <v>238</v>
      </c>
    </row>
    <row r="48" spans="2:13" x14ac:dyDescent="0.25">
      <c r="B48" s="502">
        <v>1100</v>
      </c>
      <c r="C48" s="457" t="s">
        <v>260</v>
      </c>
      <c r="D48" s="91" t="s">
        <v>228</v>
      </c>
      <c r="E48" s="498" t="s">
        <v>253</v>
      </c>
      <c r="F48" s="265">
        <v>2051</v>
      </c>
      <c r="G48" s="500">
        <f t="shared" si="17"/>
        <v>12.208333333333334</v>
      </c>
      <c r="H48" s="503">
        <f t="shared" si="18"/>
        <v>0.20347222222222222</v>
      </c>
      <c r="I48" s="504">
        <v>10</v>
      </c>
      <c r="J48" s="505">
        <f t="shared" ref="J48:J51" si="20">I48*H48</f>
        <v>2.0347222222222223</v>
      </c>
      <c r="K48" s="506" t="s">
        <v>238</v>
      </c>
    </row>
    <row r="49" spans="2:13" x14ac:dyDescent="0.25">
      <c r="B49" s="502">
        <v>1100</v>
      </c>
      <c r="C49" s="457" t="s">
        <v>258</v>
      </c>
      <c r="D49" s="91" t="s">
        <v>228</v>
      </c>
      <c r="E49" s="498" t="s">
        <v>253</v>
      </c>
      <c r="F49" s="265">
        <v>2051</v>
      </c>
      <c r="G49" s="500">
        <f t="shared" si="17"/>
        <v>12.208333333333334</v>
      </c>
      <c r="H49" s="503">
        <f t="shared" si="18"/>
        <v>0.20347222222222222</v>
      </c>
      <c r="I49" s="504">
        <v>20</v>
      </c>
      <c r="J49" s="505">
        <f t="shared" si="20"/>
        <v>4.0694444444444446</v>
      </c>
      <c r="K49" s="506" t="s">
        <v>238</v>
      </c>
    </row>
    <row r="50" spans="2:13" x14ac:dyDescent="0.25">
      <c r="B50" s="502">
        <v>1100</v>
      </c>
      <c r="C50" s="502" t="s">
        <v>255</v>
      </c>
      <c r="D50" s="498" t="s">
        <v>256</v>
      </c>
      <c r="E50" s="498" t="s">
        <v>257</v>
      </c>
      <c r="F50" s="499">
        <v>1250</v>
      </c>
      <c r="G50" s="500">
        <f t="shared" si="17"/>
        <v>7.4404761904761907</v>
      </c>
      <c r="H50" s="503">
        <f t="shared" si="18"/>
        <v>0.12400793650793651</v>
      </c>
      <c r="I50" s="504">
        <v>20</v>
      </c>
      <c r="J50" s="505">
        <f t="shared" si="20"/>
        <v>2.4801587301587302</v>
      </c>
      <c r="K50" s="506" t="s">
        <v>238</v>
      </c>
    </row>
    <row r="51" spans="2:13" x14ac:dyDescent="0.25">
      <c r="B51" s="502">
        <v>1100</v>
      </c>
      <c r="C51" s="502" t="s">
        <v>249</v>
      </c>
      <c r="D51" s="91" t="s">
        <v>212</v>
      </c>
      <c r="E51" s="498" t="s">
        <v>248</v>
      </c>
      <c r="F51" s="499">
        <v>1340</v>
      </c>
      <c r="G51" s="500">
        <f t="shared" si="17"/>
        <v>7.9761904761904763</v>
      </c>
      <c r="H51" s="503">
        <f t="shared" si="18"/>
        <v>0.13293650793650794</v>
      </c>
      <c r="I51" s="504">
        <v>5</v>
      </c>
      <c r="J51" s="505">
        <f t="shared" si="20"/>
        <v>0.66468253968253965</v>
      </c>
      <c r="K51" s="471" t="s">
        <v>237</v>
      </c>
    </row>
    <row r="54" spans="2:13" ht="14.65" customHeight="1" x14ac:dyDescent="0.25">
      <c r="B54" s="564" t="s">
        <v>247</v>
      </c>
      <c r="C54" s="564"/>
      <c r="D54" s="567" t="s">
        <v>112</v>
      </c>
      <c r="E54" s="567"/>
    </row>
    <row r="55" spans="2:13" ht="60" x14ac:dyDescent="0.25">
      <c r="F55" s="333" t="s">
        <v>148</v>
      </c>
      <c r="G55" s="333" t="s">
        <v>250</v>
      </c>
      <c r="H55" s="501" t="s">
        <v>251</v>
      </c>
      <c r="I55" s="501" t="s">
        <v>252</v>
      </c>
      <c r="J55" s="333" t="s">
        <v>13</v>
      </c>
    </row>
    <row r="56" spans="2:13" ht="60" x14ac:dyDescent="0.25">
      <c r="B56" s="502">
        <v>1100</v>
      </c>
      <c r="C56" s="457" t="s">
        <v>259</v>
      </c>
      <c r="D56" s="341" t="s">
        <v>1157</v>
      </c>
      <c r="E56" s="498" t="s">
        <v>253</v>
      </c>
      <c r="F56" s="499">
        <v>1250</v>
      </c>
      <c r="G56" s="500">
        <f t="shared" ref="G56:G61" si="21">F56/21/8</f>
        <v>7.4404761904761907</v>
      </c>
      <c r="H56" s="503">
        <f t="shared" ref="H56:H61" si="22">G56/60</f>
        <v>0.12400793650793651</v>
      </c>
      <c r="I56" s="504">
        <v>38.5</v>
      </c>
      <c r="J56" s="505">
        <f t="shared" ref="J56" si="23">I56*H56</f>
        <v>4.7743055555555554</v>
      </c>
      <c r="K56" s="506" t="s">
        <v>238</v>
      </c>
      <c r="L56" s="507">
        <f>SUM(J56:J60)</f>
        <v>18.44543650793651</v>
      </c>
      <c r="M56" s="65" t="s">
        <v>262</v>
      </c>
    </row>
    <row r="57" spans="2:13" x14ac:dyDescent="0.25">
      <c r="B57" s="502">
        <v>1100</v>
      </c>
      <c r="C57" s="457" t="s">
        <v>261</v>
      </c>
      <c r="D57" s="91" t="s">
        <v>228</v>
      </c>
      <c r="E57" s="498" t="s">
        <v>253</v>
      </c>
      <c r="F57" s="265">
        <v>2051</v>
      </c>
      <c r="G57" s="500">
        <f t="shared" si="21"/>
        <v>12.208333333333334</v>
      </c>
      <c r="H57" s="503">
        <f t="shared" si="22"/>
        <v>0.20347222222222222</v>
      </c>
      <c r="I57" s="504">
        <v>20</v>
      </c>
      <c r="J57" s="505">
        <f>I57*H57</f>
        <v>4.0694444444444446</v>
      </c>
      <c r="K57" s="506" t="s">
        <v>238</v>
      </c>
    </row>
    <row r="58" spans="2:13" x14ac:dyDescent="0.25">
      <c r="B58" s="502">
        <v>1100</v>
      </c>
      <c r="C58" s="457" t="s">
        <v>260</v>
      </c>
      <c r="D58" s="91" t="s">
        <v>228</v>
      </c>
      <c r="E58" s="498" t="s">
        <v>253</v>
      </c>
      <c r="F58" s="265">
        <v>2051</v>
      </c>
      <c r="G58" s="500">
        <f t="shared" si="21"/>
        <v>12.208333333333334</v>
      </c>
      <c r="H58" s="503">
        <f t="shared" si="22"/>
        <v>0.20347222222222222</v>
      </c>
      <c r="I58" s="504">
        <v>15</v>
      </c>
      <c r="J58" s="505">
        <f t="shared" ref="J58:J61" si="24">I58*H58</f>
        <v>3.0520833333333335</v>
      </c>
      <c r="K58" s="506" t="s">
        <v>238</v>
      </c>
    </row>
    <row r="59" spans="2:13" x14ac:dyDescent="0.25">
      <c r="B59" s="502">
        <v>1100</v>
      </c>
      <c r="C59" s="457" t="s">
        <v>258</v>
      </c>
      <c r="D59" s="91" t="s">
        <v>228</v>
      </c>
      <c r="E59" s="498" t="s">
        <v>253</v>
      </c>
      <c r="F59" s="265">
        <v>2051</v>
      </c>
      <c r="G59" s="500">
        <f t="shared" si="21"/>
        <v>12.208333333333334</v>
      </c>
      <c r="H59" s="503">
        <f t="shared" si="22"/>
        <v>0.20347222222222222</v>
      </c>
      <c r="I59" s="504">
        <v>20</v>
      </c>
      <c r="J59" s="505">
        <f t="shared" si="24"/>
        <v>4.0694444444444446</v>
      </c>
      <c r="K59" s="506" t="s">
        <v>238</v>
      </c>
    </row>
    <row r="60" spans="2:13" x14ac:dyDescent="0.25">
      <c r="B60" s="502">
        <v>1100</v>
      </c>
      <c r="C60" s="502" t="s">
        <v>255</v>
      </c>
      <c r="D60" s="498" t="s">
        <v>256</v>
      </c>
      <c r="E60" s="498" t="s">
        <v>257</v>
      </c>
      <c r="F60" s="499">
        <v>1250</v>
      </c>
      <c r="G60" s="500">
        <f t="shared" si="21"/>
        <v>7.4404761904761907</v>
      </c>
      <c r="H60" s="503">
        <f t="shared" si="22"/>
        <v>0.12400793650793651</v>
      </c>
      <c r="I60" s="504">
        <v>20</v>
      </c>
      <c r="J60" s="505">
        <f t="shared" si="24"/>
        <v>2.4801587301587302</v>
      </c>
      <c r="K60" s="506" t="s">
        <v>238</v>
      </c>
    </row>
    <row r="61" spans="2:13" x14ac:dyDescent="0.25">
      <c r="B61" s="502">
        <v>1100</v>
      </c>
      <c r="C61" s="502" t="s">
        <v>249</v>
      </c>
      <c r="D61" s="91" t="s">
        <v>212</v>
      </c>
      <c r="E61" s="498" t="s">
        <v>248</v>
      </c>
      <c r="F61" s="499">
        <v>1340</v>
      </c>
      <c r="G61" s="500">
        <f t="shared" si="21"/>
        <v>7.9761904761904763</v>
      </c>
      <c r="H61" s="503">
        <f t="shared" si="22"/>
        <v>0.13293650793650794</v>
      </c>
      <c r="I61" s="504">
        <v>5</v>
      </c>
      <c r="J61" s="505">
        <f t="shared" si="24"/>
        <v>0.66468253968253965</v>
      </c>
      <c r="K61" s="471" t="s">
        <v>237</v>
      </c>
    </row>
  </sheetData>
  <mergeCells count="13">
    <mergeCell ref="L5:M5"/>
    <mergeCell ref="N5:O5"/>
    <mergeCell ref="P5:Q5"/>
    <mergeCell ref="R5:S5"/>
    <mergeCell ref="B23:C23"/>
    <mergeCell ref="D23:E23"/>
    <mergeCell ref="B44:C44"/>
    <mergeCell ref="D44:E44"/>
    <mergeCell ref="B54:C54"/>
    <mergeCell ref="D54:E54"/>
    <mergeCell ref="J5:K5"/>
    <mergeCell ref="B33:C33"/>
    <mergeCell ref="D33:E33"/>
  </mergeCells>
  <conditionalFormatting sqref="B13">
    <cfRule type="duplicateValues" dxfId="9" priority="1"/>
  </conditionalFormatting>
  <conditionalFormatting sqref="B14">
    <cfRule type="duplicateValues" dxfId="8" priority="2"/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5ACD3-E1FA-43CF-9E63-B806955D0FD5}">
  <dimension ref="B2:R59"/>
  <sheetViews>
    <sheetView topLeftCell="A12" zoomScale="80" zoomScaleNormal="80" workbookViewId="0">
      <selection activeCell="L33" sqref="L33"/>
    </sheetView>
  </sheetViews>
  <sheetFormatPr defaultRowHeight="15" x14ac:dyDescent="0.25"/>
  <cols>
    <col min="2" max="2" width="19.42578125" customWidth="1"/>
    <col min="3" max="3" width="21.5703125" customWidth="1"/>
    <col min="4" max="4" width="21.28515625" customWidth="1"/>
    <col min="5" max="5" width="18.42578125" customWidth="1"/>
    <col min="6" max="6" width="10.5703125" customWidth="1"/>
    <col min="7" max="7" width="16.28515625" customWidth="1"/>
    <col min="8" max="8" width="9.28515625" customWidth="1"/>
    <col min="9" max="9" width="10.5703125" bestFit="1" customWidth="1"/>
    <col min="10" max="10" width="17" customWidth="1"/>
    <col min="11" max="11" width="10.5703125" customWidth="1"/>
    <col min="12" max="12" width="11.28515625" customWidth="1"/>
    <col min="13" max="13" width="14.7109375" customWidth="1"/>
    <col min="14" max="14" width="14.28515625" customWidth="1"/>
    <col min="15" max="15" width="15.7109375" customWidth="1"/>
    <col min="16" max="16" width="15.42578125" customWidth="1"/>
    <col min="17" max="17" width="9.28515625" bestFit="1" customWidth="1"/>
  </cols>
  <sheetData>
    <row r="2" spans="2:17" ht="21" customHeight="1" thickBot="1" x14ac:dyDescent="0.3">
      <c r="B2" s="487" t="s">
        <v>203</v>
      </c>
      <c r="C2" s="494" t="s">
        <v>1159</v>
      </c>
      <c r="D2" s="484"/>
      <c r="E2" s="484"/>
      <c r="F2" s="484"/>
    </row>
    <row r="3" spans="2:17" ht="15.75" thickBot="1" x14ac:dyDescent="0.3">
      <c r="B3" s="486" t="s">
        <v>1158</v>
      </c>
      <c r="C3" s="485" t="s">
        <v>234</v>
      </c>
      <c r="D3" s="460"/>
      <c r="E3" s="134"/>
      <c r="F3" s="65"/>
    </row>
    <row r="5" spans="2:17" ht="49.9" customHeight="1" x14ac:dyDescent="0.25">
      <c r="B5" s="138"/>
      <c r="C5" s="462" t="s">
        <v>216</v>
      </c>
      <c r="D5" s="463"/>
      <c r="E5" s="107" t="s">
        <v>132</v>
      </c>
      <c r="F5" s="107" t="s">
        <v>133</v>
      </c>
      <c r="G5" s="464" t="s">
        <v>236</v>
      </c>
      <c r="H5" s="464"/>
      <c r="I5" s="465" t="s">
        <v>213</v>
      </c>
      <c r="J5" s="576" t="s">
        <v>58</v>
      </c>
      <c r="K5" s="577"/>
      <c r="L5" s="576" t="s">
        <v>59</v>
      </c>
      <c r="M5" s="577"/>
      <c r="N5" s="576" t="s">
        <v>60</v>
      </c>
      <c r="O5" s="577"/>
      <c r="P5" s="580" t="s">
        <v>61</v>
      </c>
      <c r="Q5" s="580"/>
    </row>
    <row r="6" spans="2:17" ht="14.65" customHeight="1" x14ac:dyDescent="0.25">
      <c r="B6" s="107">
        <v>2221</v>
      </c>
      <c r="C6" s="467" t="s">
        <v>221</v>
      </c>
      <c r="D6" s="187">
        <v>10576.92</v>
      </c>
      <c r="E6" s="112">
        <f>D6/12</f>
        <v>881.41</v>
      </c>
      <c r="F6" s="112">
        <f>E6/21</f>
        <v>41.97190476190476</v>
      </c>
      <c r="G6" s="456">
        <f>F6/8</f>
        <v>5.246488095238095</v>
      </c>
      <c r="H6" s="456">
        <v>725</v>
      </c>
      <c r="I6" s="490">
        <f>G6/H6</f>
        <v>7.2365353037766832E-3</v>
      </c>
      <c r="J6" s="24">
        <v>36.700000000000003</v>
      </c>
      <c r="K6" s="488">
        <f>I6*J6</f>
        <v>0.26558084564860429</v>
      </c>
      <c r="L6" s="24">
        <v>57.2</v>
      </c>
      <c r="M6" s="493">
        <f>L6*I6</f>
        <v>0.4139298193760263</v>
      </c>
      <c r="N6" s="24">
        <v>96.4</v>
      </c>
      <c r="O6" s="493">
        <f>N6*I6</f>
        <v>0.69760200328407229</v>
      </c>
      <c r="P6" s="491">
        <v>47.4</v>
      </c>
      <c r="Q6" s="493">
        <f>P6*I6</f>
        <v>0.34301177339901479</v>
      </c>
    </row>
    <row r="7" spans="2:17" x14ac:dyDescent="0.25">
      <c r="B7" s="107">
        <v>2223</v>
      </c>
      <c r="C7" s="467" t="s">
        <v>41</v>
      </c>
      <c r="D7" s="187">
        <v>6021.47</v>
      </c>
      <c r="E7" s="112">
        <f t="shared" ref="E7:E14" si="0">D7/12</f>
        <v>501.78916666666669</v>
      </c>
      <c r="F7" s="112">
        <f t="shared" ref="F7:F14" si="1">E7/21</f>
        <v>23.894722222222224</v>
      </c>
      <c r="G7" s="456">
        <f t="shared" ref="G7:G14" si="2">F7/8</f>
        <v>2.9868402777777781</v>
      </c>
      <c r="H7" s="456">
        <v>725</v>
      </c>
      <c r="I7" s="490">
        <f t="shared" ref="I7:I14" si="3">G7/H7</f>
        <v>4.1197796934865907E-3</v>
      </c>
      <c r="J7" s="24">
        <v>36.700000000000003</v>
      </c>
      <c r="K7" s="488">
        <f t="shared" ref="K7:K14" si="4">I7*J7</f>
        <v>0.15119591475095789</v>
      </c>
      <c r="L7" s="24">
        <v>57.2</v>
      </c>
      <c r="M7" s="493">
        <f t="shared" ref="M7:M13" si="5">L7*I7</f>
        <v>0.23565139846743299</v>
      </c>
      <c r="N7" s="24">
        <v>96.4</v>
      </c>
      <c r="O7" s="493">
        <f t="shared" ref="O7:O14" si="6">N7*I7</f>
        <v>0.39714676245210739</v>
      </c>
      <c r="P7" s="24">
        <v>47.4</v>
      </c>
      <c r="Q7" s="493">
        <f t="shared" ref="Q7:Q14" si="7">P7*I7</f>
        <v>0.19527755747126441</v>
      </c>
    </row>
    <row r="8" spans="2:17" x14ac:dyDescent="0.25">
      <c r="B8" s="107">
        <v>2224</v>
      </c>
      <c r="C8" s="467" t="s">
        <v>42</v>
      </c>
      <c r="D8" s="188">
        <v>486.35</v>
      </c>
      <c r="E8" s="112">
        <f t="shared" si="0"/>
        <v>40.529166666666669</v>
      </c>
      <c r="F8" s="112">
        <f t="shared" si="1"/>
        <v>1.9299603174603175</v>
      </c>
      <c r="G8" s="456">
        <f t="shared" si="2"/>
        <v>0.24124503968253969</v>
      </c>
      <c r="H8" s="456">
        <v>725</v>
      </c>
      <c r="I8" s="490">
        <f t="shared" si="3"/>
        <v>3.3275177887246853E-4</v>
      </c>
      <c r="J8" s="24">
        <v>36.700000000000003</v>
      </c>
      <c r="K8" s="488">
        <f t="shared" si="4"/>
        <v>1.2211990284619596E-2</v>
      </c>
      <c r="L8" s="24">
        <v>57.2</v>
      </c>
      <c r="M8" s="493">
        <f t="shared" si="5"/>
        <v>1.90334017515052E-2</v>
      </c>
      <c r="N8" s="24">
        <v>96.4</v>
      </c>
      <c r="O8" s="493">
        <f t="shared" si="6"/>
        <v>3.2077271483305969E-2</v>
      </c>
      <c r="P8" s="24">
        <v>47.4</v>
      </c>
      <c r="Q8" s="493">
        <f t="shared" si="7"/>
        <v>1.5772434318555007E-2</v>
      </c>
    </row>
    <row r="9" spans="2:17" x14ac:dyDescent="0.25">
      <c r="B9" s="107">
        <v>2222</v>
      </c>
      <c r="C9" s="467" t="s">
        <v>44</v>
      </c>
      <c r="D9" s="187">
        <v>362.47</v>
      </c>
      <c r="E9" s="112">
        <f t="shared" si="0"/>
        <v>30.205833333333334</v>
      </c>
      <c r="F9" s="112">
        <f t="shared" si="1"/>
        <v>1.4383730158730159</v>
      </c>
      <c r="G9" s="456">
        <f t="shared" si="2"/>
        <v>0.17979662698412699</v>
      </c>
      <c r="H9" s="456">
        <v>725</v>
      </c>
      <c r="I9" s="490">
        <f t="shared" si="3"/>
        <v>2.4799534756431309E-4</v>
      </c>
      <c r="J9" s="24">
        <v>36.700000000000003</v>
      </c>
      <c r="K9" s="488">
        <f t="shared" si="4"/>
        <v>9.101429255610291E-3</v>
      </c>
      <c r="L9" s="24">
        <v>57.2</v>
      </c>
      <c r="M9" s="493">
        <f t="shared" si="5"/>
        <v>1.418533388067871E-2</v>
      </c>
      <c r="N9" s="24">
        <v>96.4</v>
      </c>
      <c r="O9" s="493">
        <f t="shared" si="6"/>
        <v>2.3906751505199782E-2</v>
      </c>
      <c r="P9" s="24">
        <v>47.4</v>
      </c>
      <c r="Q9" s="493">
        <f t="shared" si="7"/>
        <v>1.1754979474548441E-2</v>
      </c>
    </row>
    <row r="10" spans="2:17" ht="14.65" customHeight="1" x14ac:dyDescent="0.25">
      <c r="B10" s="107">
        <v>2244</v>
      </c>
      <c r="C10" s="473" t="s">
        <v>45</v>
      </c>
      <c r="D10" s="189">
        <f>(300.08*12)+13000</f>
        <v>16600.96</v>
      </c>
      <c r="E10" s="112">
        <f>D10/12</f>
        <v>1383.4133333333332</v>
      </c>
      <c r="F10" s="112">
        <f t="shared" si="1"/>
        <v>65.876825396825396</v>
      </c>
      <c r="G10" s="456">
        <f t="shared" si="2"/>
        <v>8.2346031746031745</v>
      </c>
      <c r="H10" s="456">
        <v>725</v>
      </c>
      <c r="I10" s="490">
        <f t="shared" si="3"/>
        <v>1.1358073344280241E-2</v>
      </c>
      <c r="J10" s="24">
        <v>36.700000000000003</v>
      </c>
      <c r="K10" s="495">
        <f t="shared" si="4"/>
        <v>0.41684129173508488</v>
      </c>
      <c r="L10" s="24">
        <v>57.2</v>
      </c>
      <c r="M10" s="496">
        <f t="shared" si="5"/>
        <v>0.64968179529282988</v>
      </c>
      <c r="N10" s="24">
        <v>96.4</v>
      </c>
      <c r="O10" s="496">
        <f t="shared" si="6"/>
        <v>1.0949182703886153</v>
      </c>
      <c r="P10" s="24">
        <v>47.4</v>
      </c>
      <c r="Q10" s="496">
        <f t="shared" si="7"/>
        <v>0.53837267651888343</v>
      </c>
    </row>
    <row r="11" spans="2:17" x14ac:dyDescent="0.25">
      <c r="B11" s="107">
        <v>2244</v>
      </c>
      <c r="C11" s="467" t="s">
        <v>46</v>
      </c>
      <c r="D11" s="107"/>
      <c r="E11" s="112">
        <f>D11/12</f>
        <v>0</v>
      </c>
      <c r="F11" s="112">
        <f t="shared" si="1"/>
        <v>0</v>
      </c>
      <c r="G11" s="456">
        <f t="shared" si="2"/>
        <v>0</v>
      </c>
      <c r="H11" s="456">
        <v>725</v>
      </c>
      <c r="I11" s="490">
        <f t="shared" si="3"/>
        <v>0</v>
      </c>
      <c r="J11" s="24">
        <v>36.700000000000003</v>
      </c>
      <c r="K11" s="495">
        <f t="shared" si="4"/>
        <v>0</v>
      </c>
      <c r="L11" s="24">
        <v>57.2</v>
      </c>
      <c r="M11" s="496">
        <f t="shared" si="5"/>
        <v>0</v>
      </c>
      <c r="N11" s="24">
        <v>96.4</v>
      </c>
      <c r="O11" s="496">
        <f t="shared" si="6"/>
        <v>0</v>
      </c>
      <c r="P11" s="24">
        <v>47.4</v>
      </c>
      <c r="Q11" s="496">
        <f t="shared" si="7"/>
        <v>0</v>
      </c>
    </row>
    <row r="12" spans="2:17" x14ac:dyDescent="0.25">
      <c r="B12" s="107">
        <v>2244</v>
      </c>
      <c r="C12" s="467" t="s">
        <v>211</v>
      </c>
      <c r="D12" s="190">
        <v>4778.32</v>
      </c>
      <c r="E12" s="112">
        <f>D12/12</f>
        <v>398.19333333333333</v>
      </c>
      <c r="F12" s="112">
        <f>E12/21</f>
        <v>18.961587301587301</v>
      </c>
      <c r="G12" s="456">
        <f>F12/8</f>
        <v>2.3701984126984126</v>
      </c>
      <c r="H12" s="456">
        <v>725</v>
      </c>
      <c r="I12" s="490">
        <f t="shared" si="3"/>
        <v>3.269239189928845E-3</v>
      </c>
      <c r="J12" s="24">
        <v>36.700000000000003</v>
      </c>
      <c r="K12" s="488">
        <f t="shared" si="4"/>
        <v>0.11998107827038862</v>
      </c>
      <c r="L12" s="24">
        <v>57.2</v>
      </c>
      <c r="M12" s="493">
        <f t="shared" si="5"/>
        <v>0.18700048166392993</v>
      </c>
      <c r="N12" s="24">
        <v>96.4</v>
      </c>
      <c r="O12" s="493">
        <f>N12*I12</f>
        <v>0.31515465790914066</v>
      </c>
      <c r="P12" s="24">
        <v>47.4</v>
      </c>
      <c r="Q12" s="493">
        <f t="shared" si="7"/>
        <v>0.15496193760262725</v>
      </c>
    </row>
    <row r="13" spans="2:17" x14ac:dyDescent="0.25">
      <c r="B13" s="107">
        <v>2350</v>
      </c>
      <c r="C13" s="467" t="s">
        <v>47</v>
      </c>
      <c r="D13" s="191">
        <v>2500</v>
      </c>
      <c r="E13" s="112">
        <f t="shared" si="0"/>
        <v>208.33333333333334</v>
      </c>
      <c r="F13" s="112">
        <f t="shared" si="1"/>
        <v>9.9206349206349209</v>
      </c>
      <c r="G13" s="456">
        <f t="shared" si="2"/>
        <v>1.2400793650793651</v>
      </c>
      <c r="H13" s="456">
        <v>725</v>
      </c>
      <c r="I13" s="490">
        <f t="shared" si="3"/>
        <v>1.7104542966611934E-3</v>
      </c>
      <c r="J13" s="24">
        <v>36.700000000000003</v>
      </c>
      <c r="K13" s="488">
        <f t="shared" si="4"/>
        <v>6.2773672687465795E-2</v>
      </c>
      <c r="L13" s="24">
        <v>57.2</v>
      </c>
      <c r="M13" s="493">
        <f t="shared" si="5"/>
        <v>9.7837985769020266E-2</v>
      </c>
      <c r="N13" s="24">
        <v>96.4</v>
      </c>
      <c r="O13" s="493">
        <f t="shared" si="6"/>
        <v>0.16488779419813904</v>
      </c>
      <c r="P13" s="24">
        <v>47.4</v>
      </c>
      <c r="Q13" s="493">
        <f t="shared" si="7"/>
        <v>8.1075533661740556E-2</v>
      </c>
    </row>
    <row r="14" spans="2:17" x14ac:dyDescent="0.25">
      <c r="B14" s="107">
        <v>5000</v>
      </c>
      <c r="C14" s="473" t="s">
        <v>21</v>
      </c>
      <c r="D14" s="192">
        <v>519.96</v>
      </c>
      <c r="E14" s="112">
        <f t="shared" si="0"/>
        <v>43.330000000000005</v>
      </c>
      <c r="F14" s="112">
        <f t="shared" si="1"/>
        <v>2.0633333333333335</v>
      </c>
      <c r="G14" s="456">
        <f t="shared" si="2"/>
        <v>0.25791666666666668</v>
      </c>
      <c r="H14" s="456">
        <v>725</v>
      </c>
      <c r="I14" s="490">
        <f t="shared" si="3"/>
        <v>3.5574712643678163E-4</v>
      </c>
      <c r="J14" s="24">
        <v>36.700000000000003</v>
      </c>
      <c r="K14" s="488">
        <f t="shared" si="4"/>
        <v>1.3055919540229886E-2</v>
      </c>
      <c r="L14" s="24">
        <v>57.2</v>
      </c>
      <c r="M14" s="493">
        <f>L14*I14</f>
        <v>2.0348735632183909E-2</v>
      </c>
      <c r="N14" s="24">
        <v>96.4</v>
      </c>
      <c r="O14" s="493">
        <f t="shared" si="6"/>
        <v>3.429402298850575E-2</v>
      </c>
      <c r="P14" s="24">
        <v>47.4</v>
      </c>
      <c r="Q14" s="493">
        <f t="shared" si="7"/>
        <v>1.6862413793103447E-2</v>
      </c>
    </row>
    <row r="15" spans="2:17" x14ac:dyDescent="0.25">
      <c r="B15" s="107"/>
      <c r="C15" s="462" t="s">
        <v>23</v>
      </c>
      <c r="D15" s="474">
        <f>SUM(D6:D14)</f>
        <v>41846.449999999997</v>
      </c>
      <c r="E15" s="474">
        <f>SUM(E6:E14)</f>
        <v>3487.2041666666664</v>
      </c>
      <c r="F15" s="474">
        <f>SUM(F6:F14)</f>
        <v>166.05734126984126</v>
      </c>
      <c r="G15" s="463">
        <f>SUM(G6:G14)</f>
        <v>20.757167658730157</v>
      </c>
      <c r="H15" s="489"/>
      <c r="I15" s="475"/>
    </row>
    <row r="16" spans="2:17" x14ac:dyDescent="0.25">
      <c r="J16" s="52">
        <f>J14</f>
        <v>36.700000000000003</v>
      </c>
      <c r="L16" s="52">
        <f>L14</f>
        <v>57.2</v>
      </c>
      <c r="N16" s="52">
        <f>N14</f>
        <v>96.4</v>
      </c>
      <c r="P16" s="52">
        <f>P14</f>
        <v>47.4</v>
      </c>
      <c r="Q16" s="52">
        <f>SUM(J16:P16)</f>
        <v>237.70000000000002</v>
      </c>
    </row>
    <row r="17" spans="2:18" ht="15.75" x14ac:dyDescent="0.25">
      <c r="B17" s="13"/>
      <c r="C17" s="13"/>
      <c r="D17" s="14"/>
      <c r="E17" s="14"/>
      <c r="F17" s="14"/>
      <c r="G17" s="14"/>
      <c r="H17" s="14"/>
      <c r="J17" s="34">
        <f>J16/Q16</f>
        <v>0.15439629785443837</v>
      </c>
      <c r="K17" s="34"/>
      <c r="L17" s="34">
        <f>L16/Q16</f>
        <v>0.24063946150610013</v>
      </c>
      <c r="M17" s="34"/>
      <c r="N17" s="34">
        <f>N16/Q16</f>
        <v>0.40555321834244845</v>
      </c>
      <c r="O17" s="34"/>
      <c r="P17" s="34">
        <f>P16/Q16</f>
        <v>0.19941102229701302</v>
      </c>
    </row>
    <row r="18" spans="2:18" ht="15.75" x14ac:dyDescent="0.25">
      <c r="B18" s="13"/>
      <c r="C18" s="13"/>
      <c r="D18" s="14"/>
      <c r="E18" s="14"/>
      <c r="F18" s="14"/>
      <c r="G18" s="14"/>
      <c r="H18" s="14"/>
      <c r="J18" s="34">
        <f>J17*60</f>
        <v>9.2637778712663028</v>
      </c>
      <c r="K18" s="34"/>
      <c r="L18" s="34">
        <f t="shared" ref="L18:P18" si="8">L17*60</f>
        <v>14.438367690366007</v>
      </c>
      <c r="M18" s="34"/>
      <c r="N18" s="34">
        <f t="shared" si="8"/>
        <v>24.333193100546907</v>
      </c>
      <c r="O18" s="34"/>
      <c r="P18" s="34">
        <f t="shared" si="8"/>
        <v>11.964661337820781</v>
      </c>
      <c r="Q18" t="s">
        <v>214</v>
      </c>
      <c r="R18" t="s">
        <v>215</v>
      </c>
    </row>
    <row r="23" spans="2:18" ht="15.75" x14ac:dyDescent="0.25">
      <c r="B23" s="581" t="s">
        <v>247</v>
      </c>
      <c r="C23" s="582"/>
      <c r="D23" s="578" t="s">
        <v>58</v>
      </c>
      <c r="E23" s="579"/>
      <c r="F23" s="181"/>
      <c r="G23" s="181"/>
      <c r="H23" s="181"/>
      <c r="I23" s="181"/>
      <c r="J23" s="181"/>
      <c r="K23" s="181"/>
      <c r="L23" s="181"/>
      <c r="M23" s="181"/>
    </row>
    <row r="24" spans="2:18" ht="110.25" x14ac:dyDescent="0.25">
      <c r="B24" s="181"/>
      <c r="C24" s="181"/>
      <c r="D24" s="181"/>
      <c r="E24" s="181"/>
      <c r="F24" s="260" t="s">
        <v>148</v>
      </c>
      <c r="G24" s="260" t="s">
        <v>250</v>
      </c>
      <c r="H24" s="261" t="s">
        <v>251</v>
      </c>
      <c r="I24" s="261" t="s">
        <v>252</v>
      </c>
      <c r="J24" s="260" t="s">
        <v>13</v>
      </c>
      <c r="K24" s="181"/>
      <c r="L24" s="181"/>
      <c r="M24" s="181"/>
    </row>
    <row r="25" spans="2:18" ht="45" x14ac:dyDescent="0.25">
      <c r="B25" s="263">
        <v>1100</v>
      </c>
      <c r="C25" s="210" t="s">
        <v>259</v>
      </c>
      <c r="D25" s="330" t="s">
        <v>1157</v>
      </c>
      <c r="E25" s="264" t="s">
        <v>253</v>
      </c>
      <c r="F25" s="265">
        <v>1250</v>
      </c>
      <c r="G25" s="266">
        <f t="shared" ref="G25:G30" si="9">F25/21/8</f>
        <v>7.4404761904761907</v>
      </c>
      <c r="H25" s="267">
        <f t="shared" ref="H25:H30" si="10">G25/60</f>
        <v>0.12400793650793651</v>
      </c>
      <c r="I25" s="259">
        <v>30</v>
      </c>
      <c r="J25" s="246">
        <f t="shared" ref="J25:J30" si="11">I25*H25</f>
        <v>3.7202380952380953</v>
      </c>
      <c r="K25" s="262" t="s">
        <v>238</v>
      </c>
      <c r="L25" s="492">
        <f>SUM(J25:J29)</f>
        <v>11.847048611111113</v>
      </c>
      <c r="M25" s="202" t="s">
        <v>262</v>
      </c>
    </row>
    <row r="26" spans="2:18" ht="15.75" x14ac:dyDescent="0.25">
      <c r="B26" s="263">
        <v>1100</v>
      </c>
      <c r="C26" s="210" t="s">
        <v>261</v>
      </c>
      <c r="D26" s="243" t="s">
        <v>228</v>
      </c>
      <c r="E26" s="264" t="s">
        <v>253</v>
      </c>
      <c r="F26" s="265">
        <v>1851</v>
      </c>
      <c r="G26" s="266">
        <f t="shared" si="9"/>
        <v>11.017857142857142</v>
      </c>
      <c r="H26" s="267">
        <f t="shared" si="10"/>
        <v>0.18363095238095237</v>
      </c>
      <c r="I26" s="259">
        <v>5.75</v>
      </c>
      <c r="J26" s="246">
        <f t="shared" si="11"/>
        <v>1.0558779761904762</v>
      </c>
      <c r="K26" s="262" t="s">
        <v>238</v>
      </c>
      <c r="L26" s="181"/>
      <c r="M26" s="181"/>
    </row>
    <row r="27" spans="2:18" ht="15.75" x14ac:dyDescent="0.25">
      <c r="B27" s="263">
        <v>1100</v>
      </c>
      <c r="C27" s="210" t="s">
        <v>260</v>
      </c>
      <c r="D27" s="243" t="s">
        <v>228</v>
      </c>
      <c r="E27" s="264" t="s">
        <v>253</v>
      </c>
      <c r="F27" s="265">
        <v>1851</v>
      </c>
      <c r="G27" s="266">
        <f t="shared" si="9"/>
        <v>11.017857142857142</v>
      </c>
      <c r="H27" s="267">
        <f t="shared" si="10"/>
        <v>0.18363095238095237</v>
      </c>
      <c r="I27" s="259">
        <v>5</v>
      </c>
      <c r="J27" s="246">
        <f t="shared" si="11"/>
        <v>0.91815476190476186</v>
      </c>
      <c r="K27" s="262" t="s">
        <v>238</v>
      </c>
      <c r="L27" s="181"/>
      <c r="M27" s="181"/>
    </row>
    <row r="28" spans="2:18" ht="15.75" x14ac:dyDescent="0.25">
      <c r="B28" s="263">
        <v>1100</v>
      </c>
      <c r="C28" s="210" t="s">
        <v>258</v>
      </c>
      <c r="D28" s="243" t="s">
        <v>228</v>
      </c>
      <c r="E28" s="264" t="s">
        <v>253</v>
      </c>
      <c r="F28" s="265">
        <v>1851</v>
      </c>
      <c r="G28" s="266">
        <f t="shared" si="9"/>
        <v>11.017857142857142</v>
      </c>
      <c r="H28" s="267">
        <f t="shared" si="10"/>
        <v>0.18363095238095237</v>
      </c>
      <c r="I28" s="259">
        <v>20</v>
      </c>
      <c r="J28" s="246">
        <f t="shared" si="11"/>
        <v>3.6726190476190474</v>
      </c>
      <c r="K28" s="262" t="s">
        <v>238</v>
      </c>
      <c r="L28" s="181"/>
      <c r="M28" s="181"/>
    </row>
    <row r="29" spans="2:18" ht="15.75" x14ac:dyDescent="0.25">
      <c r="B29" s="263">
        <v>1100</v>
      </c>
      <c r="C29" s="263" t="s">
        <v>255</v>
      </c>
      <c r="D29" s="264" t="s">
        <v>256</v>
      </c>
      <c r="E29" s="264" t="s">
        <v>257</v>
      </c>
      <c r="F29" s="265">
        <v>1250</v>
      </c>
      <c r="G29" s="266">
        <f t="shared" si="9"/>
        <v>7.4404761904761907</v>
      </c>
      <c r="H29" s="267">
        <f t="shared" si="10"/>
        <v>0.12400793650793651</v>
      </c>
      <c r="I29" s="259">
        <v>20</v>
      </c>
      <c r="J29" s="246">
        <f t="shared" si="11"/>
        <v>2.4801587301587302</v>
      </c>
      <c r="K29" s="262" t="s">
        <v>238</v>
      </c>
      <c r="L29" s="181"/>
      <c r="M29" s="181"/>
    </row>
    <row r="30" spans="2:18" ht="15.75" x14ac:dyDescent="0.25">
      <c r="B30" s="263">
        <v>1100</v>
      </c>
      <c r="C30" s="263" t="s">
        <v>249</v>
      </c>
      <c r="D30" s="243" t="s">
        <v>212</v>
      </c>
      <c r="E30" s="264" t="s">
        <v>248</v>
      </c>
      <c r="F30" s="265">
        <v>1340</v>
      </c>
      <c r="G30" s="266">
        <f t="shared" si="9"/>
        <v>7.9761904761904763</v>
      </c>
      <c r="H30" s="267">
        <f t="shared" si="10"/>
        <v>0.13293650793650794</v>
      </c>
      <c r="I30" s="259">
        <v>5</v>
      </c>
      <c r="J30" s="246">
        <f t="shared" si="11"/>
        <v>0.66468253968253965</v>
      </c>
      <c r="K30" s="234" t="s">
        <v>237</v>
      </c>
      <c r="L30" s="181"/>
      <c r="M30" s="181"/>
    </row>
    <row r="32" spans="2:18" ht="15.6" customHeight="1" x14ac:dyDescent="0.25">
      <c r="B32" s="574" t="s">
        <v>247</v>
      </c>
      <c r="C32" s="574"/>
      <c r="D32" s="578" t="s">
        <v>59</v>
      </c>
      <c r="E32" s="579"/>
      <c r="F32" s="181"/>
      <c r="G32" s="181"/>
      <c r="H32" s="181"/>
      <c r="I32" s="181"/>
      <c r="J32" s="181"/>
      <c r="K32" s="181"/>
      <c r="L32" s="181"/>
      <c r="M32" s="181"/>
    </row>
    <row r="33" spans="2:13" ht="110.25" x14ac:dyDescent="0.25">
      <c r="B33" s="181"/>
      <c r="C33" s="181"/>
      <c r="D33" s="181"/>
      <c r="E33" s="181"/>
      <c r="F33" s="260" t="s">
        <v>148</v>
      </c>
      <c r="G33" s="260" t="s">
        <v>250</v>
      </c>
      <c r="H33" s="261" t="s">
        <v>251</v>
      </c>
      <c r="I33" s="261" t="s">
        <v>252</v>
      </c>
      <c r="J33" s="260" t="s">
        <v>13</v>
      </c>
      <c r="K33" s="181"/>
      <c r="L33" s="181"/>
      <c r="M33" s="181"/>
    </row>
    <row r="34" spans="2:13" ht="45" x14ac:dyDescent="0.25">
      <c r="B34" s="263">
        <v>1100</v>
      </c>
      <c r="C34" s="210" t="s">
        <v>259</v>
      </c>
      <c r="D34" s="330" t="s">
        <v>1157</v>
      </c>
      <c r="E34" s="264" t="s">
        <v>253</v>
      </c>
      <c r="F34" s="265">
        <v>1250</v>
      </c>
      <c r="G34" s="266">
        <f t="shared" ref="G34:G39" si="12">F34/21/8</f>
        <v>7.4404761904761907</v>
      </c>
      <c r="H34" s="267">
        <f t="shared" ref="H34:H39" si="13">G34/60</f>
        <v>0.12400793650793651</v>
      </c>
      <c r="I34" s="259">
        <v>35</v>
      </c>
      <c r="J34" s="246">
        <f t="shared" ref="J34:J39" si="14">I34*H34</f>
        <v>4.3402777777777777</v>
      </c>
      <c r="K34" s="262" t="s">
        <v>238</v>
      </c>
      <c r="L34" s="492">
        <f>SUM(J34:J38)</f>
        <v>14.734930555555554</v>
      </c>
      <c r="M34" s="202" t="s">
        <v>262</v>
      </c>
    </row>
    <row r="35" spans="2:13" ht="15.75" x14ac:dyDescent="0.25">
      <c r="B35" s="263">
        <v>1100</v>
      </c>
      <c r="C35" s="210" t="s">
        <v>261</v>
      </c>
      <c r="D35" s="243" t="s">
        <v>228</v>
      </c>
      <c r="E35" s="264" t="s">
        <v>253</v>
      </c>
      <c r="F35" s="265">
        <v>1851</v>
      </c>
      <c r="G35" s="266">
        <f t="shared" si="12"/>
        <v>11.017857142857142</v>
      </c>
      <c r="H35" s="267">
        <f t="shared" si="13"/>
        <v>0.18363095238095237</v>
      </c>
      <c r="I35" s="259">
        <v>13.1</v>
      </c>
      <c r="J35" s="246">
        <f t="shared" si="14"/>
        <v>2.4055654761904761</v>
      </c>
      <c r="K35" s="262" t="s">
        <v>238</v>
      </c>
      <c r="L35" s="181"/>
      <c r="M35" s="181"/>
    </row>
    <row r="36" spans="2:13" ht="15.75" x14ac:dyDescent="0.25">
      <c r="B36" s="263">
        <v>1100</v>
      </c>
      <c r="C36" s="210" t="s">
        <v>260</v>
      </c>
      <c r="D36" s="243" t="s">
        <v>228</v>
      </c>
      <c r="E36" s="264" t="s">
        <v>253</v>
      </c>
      <c r="F36" s="265">
        <v>1851</v>
      </c>
      <c r="G36" s="266">
        <f t="shared" si="12"/>
        <v>11.017857142857142</v>
      </c>
      <c r="H36" s="267">
        <f t="shared" si="13"/>
        <v>0.18363095238095237</v>
      </c>
      <c r="I36" s="259">
        <v>10</v>
      </c>
      <c r="J36" s="246">
        <f t="shared" si="14"/>
        <v>1.8363095238095237</v>
      </c>
      <c r="K36" s="262" t="s">
        <v>238</v>
      </c>
      <c r="L36" s="181"/>
      <c r="M36" s="181"/>
    </row>
    <row r="37" spans="2:13" ht="15.75" x14ac:dyDescent="0.25">
      <c r="B37" s="263">
        <v>1100</v>
      </c>
      <c r="C37" s="210" t="s">
        <v>258</v>
      </c>
      <c r="D37" s="243" t="s">
        <v>228</v>
      </c>
      <c r="E37" s="264" t="s">
        <v>253</v>
      </c>
      <c r="F37" s="265">
        <v>1851</v>
      </c>
      <c r="G37" s="266">
        <f t="shared" si="12"/>
        <v>11.017857142857142</v>
      </c>
      <c r="H37" s="267">
        <f t="shared" si="13"/>
        <v>0.18363095238095237</v>
      </c>
      <c r="I37" s="259">
        <v>20</v>
      </c>
      <c r="J37" s="246">
        <f t="shared" si="14"/>
        <v>3.6726190476190474</v>
      </c>
      <c r="K37" s="262" t="s">
        <v>238</v>
      </c>
      <c r="L37" s="181"/>
      <c r="M37" s="181"/>
    </row>
    <row r="38" spans="2:13" ht="15.75" x14ac:dyDescent="0.25">
      <c r="B38" s="263">
        <v>1100</v>
      </c>
      <c r="C38" s="263" t="s">
        <v>255</v>
      </c>
      <c r="D38" s="264" t="s">
        <v>256</v>
      </c>
      <c r="E38" s="264" t="s">
        <v>257</v>
      </c>
      <c r="F38" s="265">
        <v>1250</v>
      </c>
      <c r="G38" s="266">
        <f t="shared" si="12"/>
        <v>7.4404761904761907</v>
      </c>
      <c r="H38" s="267">
        <f t="shared" si="13"/>
        <v>0.12400793650793651</v>
      </c>
      <c r="I38" s="259">
        <v>20</v>
      </c>
      <c r="J38" s="246">
        <f t="shared" si="14"/>
        <v>2.4801587301587302</v>
      </c>
      <c r="K38" s="262" t="s">
        <v>238</v>
      </c>
      <c r="L38" s="181"/>
      <c r="M38" s="181"/>
    </row>
    <row r="39" spans="2:13" ht="15.75" x14ac:dyDescent="0.25">
      <c r="B39" s="263">
        <v>1100</v>
      </c>
      <c r="C39" s="263" t="s">
        <v>249</v>
      </c>
      <c r="D39" s="243" t="s">
        <v>212</v>
      </c>
      <c r="E39" s="264" t="s">
        <v>248</v>
      </c>
      <c r="F39" s="265">
        <v>1340</v>
      </c>
      <c r="G39" s="266">
        <f t="shared" si="12"/>
        <v>7.9761904761904763</v>
      </c>
      <c r="H39" s="267">
        <f t="shared" si="13"/>
        <v>0.13293650793650794</v>
      </c>
      <c r="I39" s="259">
        <v>5</v>
      </c>
      <c r="J39" s="246">
        <f t="shared" si="14"/>
        <v>0.66468253968253965</v>
      </c>
      <c r="K39" s="234" t="s">
        <v>237</v>
      </c>
      <c r="L39" s="181"/>
      <c r="M39" s="181"/>
    </row>
    <row r="42" spans="2:13" ht="15.6" customHeight="1" x14ac:dyDescent="0.25">
      <c r="B42" s="574" t="s">
        <v>247</v>
      </c>
      <c r="C42" s="574"/>
      <c r="D42" s="575" t="s">
        <v>60</v>
      </c>
      <c r="E42" s="575"/>
      <c r="F42" s="181"/>
      <c r="G42" s="181"/>
      <c r="H42" s="181"/>
      <c r="I42" s="181"/>
      <c r="J42" s="181"/>
      <c r="K42" s="181"/>
      <c r="L42" s="181"/>
      <c r="M42" s="181"/>
    </row>
    <row r="43" spans="2:13" ht="110.25" x14ac:dyDescent="0.25">
      <c r="B43" s="181"/>
      <c r="C43" s="181"/>
      <c r="D43" s="181"/>
      <c r="E43" s="181"/>
      <c r="F43" s="260" t="s">
        <v>148</v>
      </c>
      <c r="G43" s="260" t="s">
        <v>250</v>
      </c>
      <c r="H43" s="261" t="s">
        <v>251</v>
      </c>
      <c r="I43" s="261" t="s">
        <v>252</v>
      </c>
      <c r="J43" s="260" t="s">
        <v>13</v>
      </c>
      <c r="K43" s="181"/>
      <c r="L43" s="181"/>
      <c r="M43" s="181"/>
    </row>
    <row r="44" spans="2:13" ht="45" x14ac:dyDescent="0.25">
      <c r="B44" s="263">
        <v>1100</v>
      </c>
      <c r="C44" s="210" t="s">
        <v>259</v>
      </c>
      <c r="D44" s="330" t="s">
        <v>1157</v>
      </c>
      <c r="E44" s="264" t="s">
        <v>253</v>
      </c>
      <c r="F44" s="265">
        <v>1250</v>
      </c>
      <c r="G44" s="266">
        <f t="shared" ref="G44:G49" si="15">F44/21/8</f>
        <v>7.4404761904761907</v>
      </c>
      <c r="H44" s="267">
        <f t="shared" ref="H44:H49" si="16">G44/60</f>
        <v>0.12400793650793651</v>
      </c>
      <c r="I44" s="259">
        <v>37.049999999999997</v>
      </c>
      <c r="J44" s="246">
        <f t="shared" ref="J44:J49" si="17">I44*H44</f>
        <v>4.5944940476190474</v>
      </c>
      <c r="K44" s="262" t="s">
        <v>238</v>
      </c>
      <c r="L44" s="492">
        <f>SUM(J44:J48)</f>
        <v>17.174355158730158</v>
      </c>
      <c r="M44" s="202" t="s">
        <v>262</v>
      </c>
    </row>
    <row r="45" spans="2:13" ht="15.75" x14ac:dyDescent="0.25">
      <c r="B45" s="263">
        <v>1100</v>
      </c>
      <c r="C45" s="210" t="s">
        <v>261</v>
      </c>
      <c r="D45" s="243" t="s">
        <v>228</v>
      </c>
      <c r="E45" s="264" t="s">
        <v>253</v>
      </c>
      <c r="F45" s="265">
        <v>1851</v>
      </c>
      <c r="G45" s="266">
        <f t="shared" si="15"/>
        <v>11.017857142857142</v>
      </c>
      <c r="H45" s="267">
        <f t="shared" si="16"/>
        <v>0.18363095238095237</v>
      </c>
      <c r="I45" s="259">
        <v>20</v>
      </c>
      <c r="J45" s="246">
        <f t="shared" si="17"/>
        <v>3.6726190476190474</v>
      </c>
      <c r="K45" s="262" t="s">
        <v>238</v>
      </c>
      <c r="L45" s="181"/>
      <c r="M45" s="181"/>
    </row>
    <row r="46" spans="2:13" ht="15.75" x14ac:dyDescent="0.25">
      <c r="B46" s="263">
        <v>1100</v>
      </c>
      <c r="C46" s="210" t="s">
        <v>260</v>
      </c>
      <c r="D46" s="243" t="s">
        <v>228</v>
      </c>
      <c r="E46" s="264" t="s">
        <v>253</v>
      </c>
      <c r="F46" s="265">
        <v>1851</v>
      </c>
      <c r="G46" s="266">
        <f t="shared" si="15"/>
        <v>11.017857142857142</v>
      </c>
      <c r="H46" s="267">
        <f t="shared" si="16"/>
        <v>0.18363095238095237</v>
      </c>
      <c r="I46" s="259">
        <v>15</v>
      </c>
      <c r="J46" s="246">
        <f t="shared" si="17"/>
        <v>2.7544642857142856</v>
      </c>
      <c r="K46" s="262" t="s">
        <v>238</v>
      </c>
      <c r="L46" s="181"/>
      <c r="M46" s="181"/>
    </row>
    <row r="47" spans="2:13" ht="15.75" x14ac:dyDescent="0.25">
      <c r="B47" s="263">
        <v>1100</v>
      </c>
      <c r="C47" s="210" t="s">
        <v>258</v>
      </c>
      <c r="D47" s="243" t="s">
        <v>228</v>
      </c>
      <c r="E47" s="264" t="s">
        <v>253</v>
      </c>
      <c r="F47" s="265">
        <v>1851</v>
      </c>
      <c r="G47" s="266">
        <f t="shared" si="15"/>
        <v>11.017857142857142</v>
      </c>
      <c r="H47" s="267">
        <f t="shared" si="16"/>
        <v>0.18363095238095237</v>
      </c>
      <c r="I47" s="259">
        <v>20</v>
      </c>
      <c r="J47" s="246">
        <f t="shared" si="17"/>
        <v>3.6726190476190474</v>
      </c>
      <c r="K47" s="262" t="s">
        <v>238</v>
      </c>
      <c r="L47" s="181"/>
      <c r="M47" s="181"/>
    </row>
    <row r="48" spans="2:13" ht="15.75" x14ac:dyDescent="0.25">
      <c r="B48" s="263">
        <v>1100</v>
      </c>
      <c r="C48" s="263" t="s">
        <v>255</v>
      </c>
      <c r="D48" s="264" t="s">
        <v>256</v>
      </c>
      <c r="E48" s="264" t="s">
        <v>257</v>
      </c>
      <c r="F48" s="265">
        <v>1250</v>
      </c>
      <c r="G48" s="266">
        <f t="shared" si="15"/>
        <v>7.4404761904761907</v>
      </c>
      <c r="H48" s="267">
        <f t="shared" si="16"/>
        <v>0.12400793650793651</v>
      </c>
      <c r="I48" s="259">
        <v>20</v>
      </c>
      <c r="J48" s="246">
        <f t="shared" si="17"/>
        <v>2.4801587301587302</v>
      </c>
      <c r="K48" s="262" t="s">
        <v>238</v>
      </c>
      <c r="L48" s="181"/>
      <c r="M48" s="181"/>
    </row>
    <row r="49" spans="2:13" ht="15.75" x14ac:dyDescent="0.25">
      <c r="B49" s="263">
        <v>1100</v>
      </c>
      <c r="C49" s="263" t="s">
        <v>249</v>
      </c>
      <c r="D49" s="243" t="s">
        <v>212</v>
      </c>
      <c r="E49" s="264" t="s">
        <v>248</v>
      </c>
      <c r="F49" s="265">
        <v>1340</v>
      </c>
      <c r="G49" s="266">
        <f t="shared" si="15"/>
        <v>7.9761904761904763</v>
      </c>
      <c r="H49" s="267">
        <f t="shared" si="16"/>
        <v>0.13293650793650794</v>
      </c>
      <c r="I49" s="259">
        <v>5</v>
      </c>
      <c r="J49" s="246">
        <f t="shared" si="17"/>
        <v>0.66468253968253965</v>
      </c>
      <c r="K49" s="234" t="s">
        <v>237</v>
      </c>
      <c r="L49" s="181"/>
      <c r="M49" s="181"/>
    </row>
    <row r="52" spans="2:13" ht="15.6" customHeight="1" x14ac:dyDescent="0.25">
      <c r="B52" s="574" t="s">
        <v>247</v>
      </c>
      <c r="C52" s="574"/>
      <c r="D52" s="575" t="s">
        <v>61</v>
      </c>
      <c r="E52" s="575"/>
      <c r="F52" s="181"/>
      <c r="G52" s="181"/>
      <c r="H52" s="181"/>
      <c r="I52" s="181"/>
      <c r="J52" s="181"/>
      <c r="K52" s="181"/>
      <c r="L52" s="181"/>
      <c r="M52" s="181"/>
    </row>
    <row r="53" spans="2:13" ht="110.25" x14ac:dyDescent="0.25">
      <c r="B53" s="181"/>
      <c r="C53" s="181"/>
      <c r="D53" s="181"/>
      <c r="E53" s="181"/>
      <c r="F53" s="260" t="s">
        <v>148</v>
      </c>
      <c r="G53" s="260" t="s">
        <v>250</v>
      </c>
      <c r="H53" s="261" t="s">
        <v>251</v>
      </c>
      <c r="I53" s="261" t="s">
        <v>252</v>
      </c>
      <c r="J53" s="260" t="s">
        <v>13</v>
      </c>
      <c r="K53" s="181"/>
      <c r="L53" s="181"/>
      <c r="M53" s="181"/>
    </row>
    <row r="54" spans="2:13" ht="45" x14ac:dyDescent="0.25">
      <c r="B54" s="263">
        <v>1100</v>
      </c>
      <c r="C54" s="210" t="s">
        <v>259</v>
      </c>
      <c r="D54" s="330" t="s">
        <v>1157</v>
      </c>
      <c r="E54" s="264" t="s">
        <v>253</v>
      </c>
      <c r="F54" s="265">
        <v>1250</v>
      </c>
      <c r="G54" s="266">
        <f t="shared" ref="G54:G59" si="18">F54/21/8</f>
        <v>7.4404761904761907</v>
      </c>
      <c r="H54" s="267">
        <f t="shared" ref="H54:H59" si="19">G54/60</f>
        <v>0.12400793650793651</v>
      </c>
      <c r="I54" s="259">
        <v>35.47</v>
      </c>
      <c r="J54" s="246">
        <f t="shared" ref="J54:J59" si="20">I54*H54</f>
        <v>4.3985615079365079</v>
      </c>
      <c r="K54" s="262" t="s">
        <v>238</v>
      </c>
      <c r="L54" s="492">
        <f>SUM(J54:J58)</f>
        <v>14.958482142857143</v>
      </c>
      <c r="M54" s="202" t="s">
        <v>262</v>
      </c>
    </row>
    <row r="55" spans="2:13" ht="15.75" x14ac:dyDescent="0.25">
      <c r="B55" s="263">
        <v>1100</v>
      </c>
      <c r="C55" s="210" t="s">
        <v>261</v>
      </c>
      <c r="D55" s="243" t="s">
        <v>228</v>
      </c>
      <c r="E55" s="264" t="s">
        <v>253</v>
      </c>
      <c r="F55" s="265">
        <v>1851</v>
      </c>
      <c r="G55" s="266">
        <f t="shared" si="18"/>
        <v>11.017857142857142</v>
      </c>
      <c r="H55" s="267">
        <f t="shared" si="19"/>
        <v>0.18363095238095237</v>
      </c>
      <c r="I55" s="259">
        <v>14</v>
      </c>
      <c r="J55" s="246">
        <f t="shared" si="20"/>
        <v>2.5708333333333333</v>
      </c>
      <c r="K55" s="262" t="s">
        <v>238</v>
      </c>
      <c r="L55" s="181"/>
      <c r="M55" s="181"/>
    </row>
    <row r="56" spans="2:13" ht="15.75" x14ac:dyDescent="0.25">
      <c r="B56" s="263">
        <v>1100</v>
      </c>
      <c r="C56" s="210" t="s">
        <v>260</v>
      </c>
      <c r="D56" s="243" t="s">
        <v>228</v>
      </c>
      <c r="E56" s="264" t="s">
        <v>253</v>
      </c>
      <c r="F56" s="265">
        <v>1851</v>
      </c>
      <c r="G56" s="266">
        <f t="shared" si="18"/>
        <v>11.017857142857142</v>
      </c>
      <c r="H56" s="267">
        <f t="shared" si="19"/>
        <v>0.18363095238095237</v>
      </c>
      <c r="I56" s="259">
        <v>10</v>
      </c>
      <c r="J56" s="246">
        <f t="shared" si="20"/>
        <v>1.8363095238095237</v>
      </c>
      <c r="K56" s="262" t="s">
        <v>238</v>
      </c>
      <c r="L56" s="181"/>
      <c r="M56" s="181"/>
    </row>
    <row r="57" spans="2:13" ht="15.75" x14ac:dyDescent="0.25">
      <c r="B57" s="263">
        <v>1100</v>
      </c>
      <c r="C57" s="210" t="s">
        <v>258</v>
      </c>
      <c r="D57" s="243" t="s">
        <v>228</v>
      </c>
      <c r="E57" s="264" t="s">
        <v>253</v>
      </c>
      <c r="F57" s="265">
        <v>1851</v>
      </c>
      <c r="G57" s="266">
        <f t="shared" si="18"/>
        <v>11.017857142857142</v>
      </c>
      <c r="H57" s="267">
        <f t="shared" si="19"/>
        <v>0.18363095238095237</v>
      </c>
      <c r="I57" s="259">
        <v>20</v>
      </c>
      <c r="J57" s="246">
        <f t="shared" si="20"/>
        <v>3.6726190476190474</v>
      </c>
      <c r="K57" s="262" t="s">
        <v>238</v>
      </c>
      <c r="L57" s="181"/>
      <c r="M57" s="181"/>
    </row>
    <row r="58" spans="2:13" ht="15.75" x14ac:dyDescent="0.25">
      <c r="B58" s="263">
        <v>1100</v>
      </c>
      <c r="C58" s="263" t="s">
        <v>255</v>
      </c>
      <c r="D58" s="264" t="s">
        <v>256</v>
      </c>
      <c r="E58" s="264" t="s">
        <v>257</v>
      </c>
      <c r="F58" s="265">
        <v>1250</v>
      </c>
      <c r="G58" s="266">
        <f t="shared" si="18"/>
        <v>7.4404761904761907</v>
      </c>
      <c r="H58" s="267">
        <f t="shared" si="19"/>
        <v>0.12400793650793651</v>
      </c>
      <c r="I58" s="259">
        <v>20</v>
      </c>
      <c r="J58" s="246">
        <f t="shared" si="20"/>
        <v>2.4801587301587302</v>
      </c>
      <c r="K58" s="262" t="s">
        <v>238</v>
      </c>
      <c r="L58" s="181"/>
      <c r="M58" s="181"/>
    </row>
    <row r="59" spans="2:13" ht="15.75" x14ac:dyDescent="0.25">
      <c r="B59" s="263">
        <v>1100</v>
      </c>
      <c r="C59" s="263" t="s">
        <v>249</v>
      </c>
      <c r="D59" s="243" t="s">
        <v>212</v>
      </c>
      <c r="E59" s="264" t="s">
        <v>248</v>
      </c>
      <c r="F59" s="265">
        <v>1340</v>
      </c>
      <c r="G59" s="266">
        <f t="shared" si="18"/>
        <v>7.9761904761904763</v>
      </c>
      <c r="H59" s="267">
        <f t="shared" si="19"/>
        <v>0.13293650793650794</v>
      </c>
      <c r="I59" s="259">
        <v>5</v>
      </c>
      <c r="J59" s="246">
        <f t="shared" si="20"/>
        <v>0.66468253968253965</v>
      </c>
      <c r="K59" s="234" t="s">
        <v>237</v>
      </c>
      <c r="L59" s="181"/>
      <c r="M59" s="181"/>
    </row>
  </sheetData>
  <mergeCells count="12">
    <mergeCell ref="N5:O5"/>
    <mergeCell ref="P5:Q5"/>
    <mergeCell ref="B23:C23"/>
    <mergeCell ref="D23:E23"/>
    <mergeCell ref="J5:K5"/>
    <mergeCell ref="B42:C42"/>
    <mergeCell ref="D42:E42"/>
    <mergeCell ref="B52:C52"/>
    <mergeCell ref="D52:E52"/>
    <mergeCell ref="L5:M5"/>
    <mergeCell ref="B32:C32"/>
    <mergeCell ref="D32:E32"/>
  </mergeCells>
  <conditionalFormatting sqref="B13">
    <cfRule type="duplicateValues" dxfId="7" priority="1"/>
  </conditionalFormatting>
  <conditionalFormatting sqref="B14">
    <cfRule type="duplicateValues" dxfId="6" priority="2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9D924-DC7D-4B97-B8E4-244439CADC5C}">
  <dimension ref="B1:M28"/>
  <sheetViews>
    <sheetView zoomScale="80" zoomScaleNormal="80" workbookViewId="0">
      <selection activeCell="M25" sqref="M25"/>
    </sheetView>
  </sheetViews>
  <sheetFormatPr defaultRowHeight="15" x14ac:dyDescent="0.25"/>
  <cols>
    <col min="2" max="2" width="11.7109375" customWidth="1"/>
    <col min="3" max="3" width="21.5703125" customWidth="1"/>
    <col min="4" max="4" width="26.28515625" customWidth="1"/>
    <col min="5" max="5" width="18.42578125" customWidth="1"/>
    <col min="6" max="6" width="10.5703125" customWidth="1"/>
    <col min="7" max="7" width="16.28515625" customWidth="1"/>
    <col min="8" max="8" width="10.7109375" bestFit="1" customWidth="1"/>
    <col min="9" max="9" width="20.7109375" customWidth="1"/>
    <col min="10" max="10" width="30.42578125" customWidth="1"/>
    <col min="11" max="11" width="10" customWidth="1"/>
    <col min="12" max="12" width="9.7109375" customWidth="1"/>
    <col min="13" max="13" width="9.28515625" bestFit="1" customWidth="1"/>
    <col min="14" max="14" width="9" bestFit="1" customWidth="1"/>
    <col min="15" max="15" width="12.7109375" customWidth="1"/>
    <col min="16" max="17" width="9" bestFit="1" customWidth="1"/>
  </cols>
  <sheetData>
    <row r="1" spans="2:11" ht="15.75" thickBot="1" x14ac:dyDescent="0.3"/>
    <row r="2" spans="2:11" ht="15.75" thickBot="1" x14ac:dyDescent="0.3">
      <c r="B2" s="458" t="s">
        <v>204</v>
      </c>
      <c r="C2" s="583" t="s">
        <v>219</v>
      </c>
      <c r="D2" s="583"/>
      <c r="E2" s="583"/>
      <c r="F2" s="583"/>
      <c r="G2" s="583"/>
    </row>
    <row r="3" spans="2:11" ht="15.75" thickBot="1" x14ac:dyDescent="0.3">
      <c r="B3" s="459">
        <v>410.4</v>
      </c>
      <c r="C3" s="460" t="s">
        <v>234</v>
      </c>
      <c r="D3" s="134"/>
      <c r="E3" s="65"/>
      <c r="F3" s="65"/>
      <c r="G3" s="65"/>
    </row>
    <row r="4" spans="2:11" x14ac:dyDescent="0.25">
      <c r="B4" s="134"/>
      <c r="C4" s="461"/>
      <c r="D4" s="134"/>
      <c r="E4" s="65"/>
      <c r="F4" s="65"/>
      <c r="G4" s="65"/>
    </row>
    <row r="5" spans="2:11" ht="30" x14ac:dyDescent="0.25">
      <c r="B5" s="138"/>
      <c r="C5" s="462" t="s">
        <v>216</v>
      </c>
      <c r="D5" s="463"/>
      <c r="E5" s="107" t="s">
        <v>132</v>
      </c>
      <c r="F5" s="107" t="s">
        <v>133</v>
      </c>
      <c r="G5" s="464" t="s">
        <v>236</v>
      </c>
      <c r="H5" s="465" t="s">
        <v>213</v>
      </c>
      <c r="I5" s="466" t="s">
        <v>1156</v>
      </c>
      <c r="J5" s="466"/>
    </row>
    <row r="6" spans="2:11" x14ac:dyDescent="0.25">
      <c r="B6" s="107">
        <v>2221</v>
      </c>
      <c r="C6" s="467" t="s">
        <v>221</v>
      </c>
      <c r="D6" s="477">
        <v>2601.38</v>
      </c>
      <c r="E6" s="112">
        <f>D6/12</f>
        <v>216.78166666666667</v>
      </c>
      <c r="F6" s="112">
        <f>E6/21</f>
        <v>10.322936507936507</v>
      </c>
      <c r="G6" s="456">
        <f>F6/8</f>
        <v>1.2903670634920634</v>
      </c>
      <c r="H6" s="468">
        <f>G6/B3</f>
        <v>3.1441692580215972E-3</v>
      </c>
      <c r="I6" s="24">
        <v>54.5</v>
      </c>
      <c r="J6" s="469">
        <f>H6*I6</f>
        <v>0.17135722456217706</v>
      </c>
      <c r="K6" s="470" t="s">
        <v>238</v>
      </c>
    </row>
    <row r="7" spans="2:11" x14ac:dyDescent="0.25">
      <c r="B7" s="107">
        <v>2223</v>
      </c>
      <c r="C7" s="467" t="s">
        <v>41</v>
      </c>
      <c r="D7" s="477">
        <v>1184.77</v>
      </c>
      <c r="E7" s="112">
        <f t="shared" ref="E7:E14" si="0">D7/12</f>
        <v>98.730833333333337</v>
      </c>
      <c r="F7" s="112">
        <f t="shared" ref="F7:F14" si="1">E7/21</f>
        <v>4.7014682539682537</v>
      </c>
      <c r="G7" s="456">
        <f t="shared" ref="G7:G14" si="2">F7/8</f>
        <v>0.58768353174603172</v>
      </c>
      <c r="H7" s="468">
        <f>G7/B3</f>
        <v>1.4319774165351652E-3</v>
      </c>
      <c r="I7" s="24">
        <v>54.5</v>
      </c>
      <c r="J7" s="469">
        <f t="shared" ref="J7:J14" si="3">H7*I7</f>
        <v>7.8042769201166498E-2</v>
      </c>
      <c r="K7" s="470" t="s">
        <v>238</v>
      </c>
    </row>
    <row r="8" spans="2:11" x14ac:dyDescent="0.25">
      <c r="B8" s="107">
        <v>2224</v>
      </c>
      <c r="C8" s="467" t="s">
        <v>42</v>
      </c>
      <c r="D8" s="478">
        <v>290.01</v>
      </c>
      <c r="E8" s="112">
        <f t="shared" si="0"/>
        <v>24.1675</v>
      </c>
      <c r="F8" s="112">
        <f t="shared" si="1"/>
        <v>1.1508333333333334</v>
      </c>
      <c r="G8" s="456">
        <f t="shared" si="2"/>
        <v>0.14385416666666667</v>
      </c>
      <c r="H8" s="468">
        <f>G8/B3</f>
        <v>3.50521848602989E-4</v>
      </c>
      <c r="I8" s="24">
        <v>54.5</v>
      </c>
      <c r="J8" s="469">
        <f t="shared" si="3"/>
        <v>1.9103440748862902E-2</v>
      </c>
      <c r="K8" s="470" t="s">
        <v>238</v>
      </c>
    </row>
    <row r="9" spans="2:11" x14ac:dyDescent="0.25">
      <c r="B9" s="107">
        <v>2222</v>
      </c>
      <c r="C9" s="467" t="s">
        <v>44</v>
      </c>
      <c r="D9" s="477">
        <v>51.12</v>
      </c>
      <c r="E9" s="112">
        <f t="shared" si="0"/>
        <v>4.26</v>
      </c>
      <c r="F9" s="112">
        <f t="shared" si="1"/>
        <v>0.20285714285714285</v>
      </c>
      <c r="G9" s="456">
        <f t="shared" si="2"/>
        <v>2.5357142857142856E-2</v>
      </c>
      <c r="H9" s="468">
        <f>G9/B3</f>
        <v>6.1786410470621002E-5</v>
      </c>
      <c r="I9" s="24">
        <v>54.5</v>
      </c>
      <c r="J9" s="469">
        <f t="shared" si="3"/>
        <v>3.3673593706488444E-3</v>
      </c>
      <c r="K9" s="470" t="s">
        <v>238</v>
      </c>
    </row>
    <row r="10" spans="2:11" x14ac:dyDescent="0.25">
      <c r="B10" s="107">
        <v>2244</v>
      </c>
      <c r="C10" s="473" t="s">
        <v>45</v>
      </c>
      <c r="D10" s="479">
        <v>7086</v>
      </c>
      <c r="E10" s="112">
        <f t="shared" si="0"/>
        <v>590.5</v>
      </c>
      <c r="F10" s="112">
        <f t="shared" si="1"/>
        <v>28.11904761904762</v>
      </c>
      <c r="G10" s="456">
        <f t="shared" si="2"/>
        <v>3.5148809523809526</v>
      </c>
      <c r="H10" s="468">
        <f>G10/B3</f>
        <v>8.5645247377703522E-3</v>
      </c>
      <c r="I10" s="24">
        <v>54.5</v>
      </c>
      <c r="J10" s="469">
        <f t="shared" si="3"/>
        <v>0.46676659820848421</v>
      </c>
      <c r="K10" s="470" t="s">
        <v>238</v>
      </c>
    </row>
    <row r="11" spans="2:11" x14ac:dyDescent="0.25">
      <c r="B11" s="107">
        <v>2244</v>
      </c>
      <c r="C11" s="467" t="s">
        <v>46</v>
      </c>
      <c r="D11" s="107"/>
      <c r="E11" s="112">
        <f t="shared" si="0"/>
        <v>0</v>
      </c>
      <c r="F11" s="112">
        <f t="shared" si="1"/>
        <v>0</v>
      </c>
      <c r="G11" s="456">
        <f t="shared" si="2"/>
        <v>0</v>
      </c>
      <c r="H11" s="468"/>
      <c r="I11" s="24">
        <v>54.5</v>
      </c>
      <c r="J11" s="469">
        <f t="shared" si="3"/>
        <v>0</v>
      </c>
      <c r="K11" s="470" t="s">
        <v>238</v>
      </c>
    </row>
    <row r="12" spans="2:11" x14ac:dyDescent="0.25">
      <c r="B12" s="107">
        <v>2244</v>
      </c>
      <c r="C12" s="467" t="s">
        <v>211</v>
      </c>
      <c r="D12" s="480">
        <v>1689.21</v>
      </c>
      <c r="E12" s="112">
        <f>D12/12</f>
        <v>140.76750000000001</v>
      </c>
      <c r="F12" s="112">
        <f>E12/21</f>
        <v>6.703214285714286</v>
      </c>
      <c r="G12" s="456">
        <f>F12/8</f>
        <v>0.83790178571428575</v>
      </c>
      <c r="H12" s="468">
        <f>G12/B3</f>
        <v>2.041671017822334E-3</v>
      </c>
      <c r="I12" s="24">
        <v>54.5</v>
      </c>
      <c r="J12" s="482">
        <f t="shared" si="3"/>
        <v>0.11127107047131721</v>
      </c>
      <c r="K12" s="471" t="s">
        <v>237</v>
      </c>
    </row>
    <row r="13" spans="2:11" x14ac:dyDescent="0.25">
      <c r="B13" s="107">
        <v>2350</v>
      </c>
      <c r="C13" s="467" t="s">
        <v>47</v>
      </c>
      <c r="D13" s="472">
        <v>2500</v>
      </c>
      <c r="E13" s="112">
        <f t="shared" si="0"/>
        <v>208.33333333333334</v>
      </c>
      <c r="F13" s="112">
        <f t="shared" si="1"/>
        <v>9.9206349206349209</v>
      </c>
      <c r="G13" s="456">
        <f t="shared" si="2"/>
        <v>1.2400793650793651</v>
      </c>
      <c r="H13" s="468">
        <f>G13/B3</f>
        <v>3.0216358798230147E-3</v>
      </c>
      <c r="I13" s="24">
        <v>54.5</v>
      </c>
      <c r="J13" s="482">
        <f t="shared" si="3"/>
        <v>0.1646791554503543</v>
      </c>
      <c r="K13" s="471" t="s">
        <v>237</v>
      </c>
    </row>
    <row r="14" spans="2:11" x14ac:dyDescent="0.25">
      <c r="B14" s="107">
        <v>5000</v>
      </c>
      <c r="C14" s="473" t="s">
        <v>21</v>
      </c>
      <c r="D14" s="481">
        <v>63.48</v>
      </c>
      <c r="E14" s="112">
        <f t="shared" si="0"/>
        <v>5.29</v>
      </c>
      <c r="F14" s="112">
        <f t="shared" si="1"/>
        <v>0.25190476190476191</v>
      </c>
      <c r="G14" s="456">
        <f t="shared" si="2"/>
        <v>3.1488095238095239E-2</v>
      </c>
      <c r="H14" s="468">
        <f>G14/B3</f>
        <v>7.6725378260465981E-5</v>
      </c>
      <c r="I14" s="24">
        <v>54.5</v>
      </c>
      <c r="J14" s="482">
        <f t="shared" si="3"/>
        <v>4.1815331151953961E-3</v>
      </c>
      <c r="K14" s="471" t="s">
        <v>237</v>
      </c>
    </row>
    <row r="15" spans="2:11" x14ac:dyDescent="0.25">
      <c r="B15" s="107"/>
      <c r="C15" s="462" t="s">
        <v>23</v>
      </c>
      <c r="D15" s="474">
        <f>SUM(D6:D14)</f>
        <v>15465.969999999998</v>
      </c>
      <c r="E15" s="474">
        <f>SUM(E6:E14)</f>
        <v>1288.8308333333332</v>
      </c>
      <c r="F15" s="474">
        <f>SUM(F6:F14)</f>
        <v>61.372896825396829</v>
      </c>
      <c r="G15" s="463">
        <f>SUM(G6:G14)</f>
        <v>7.6716121031746036</v>
      </c>
      <c r="H15" s="475"/>
    </row>
    <row r="16" spans="2:11" x14ac:dyDescent="0.25">
      <c r="B16" s="134"/>
      <c r="C16" s="461"/>
      <c r="D16" s="134"/>
      <c r="E16" s="65"/>
      <c r="F16" s="65"/>
      <c r="G16" s="65"/>
    </row>
    <row r="17" spans="2:13" x14ac:dyDescent="0.25">
      <c r="B17" s="134"/>
      <c r="C17" s="461"/>
      <c r="D17" s="134"/>
      <c r="E17" s="65"/>
      <c r="F17" s="65"/>
      <c r="G17" s="65"/>
    </row>
    <row r="18" spans="2:13" ht="35.65" customHeight="1" x14ac:dyDescent="0.25">
      <c r="B18" s="584" t="s">
        <v>247</v>
      </c>
      <c r="C18" s="585"/>
      <c r="D18" s="269" t="s">
        <v>1156</v>
      </c>
      <c r="E18" s="181"/>
      <c r="F18" s="181"/>
      <c r="G18" s="181"/>
      <c r="H18" s="181"/>
      <c r="I18" s="181"/>
      <c r="J18" s="181"/>
      <c r="K18" s="181"/>
      <c r="L18" s="181"/>
      <c r="M18" s="181"/>
    </row>
    <row r="19" spans="2:13" ht="63" x14ac:dyDescent="0.25">
      <c r="B19" s="181"/>
      <c r="C19" s="181"/>
      <c r="D19" s="181"/>
      <c r="E19" s="181"/>
      <c r="F19" s="260" t="s">
        <v>148</v>
      </c>
      <c r="G19" s="260" t="s">
        <v>250</v>
      </c>
      <c r="H19" s="261" t="s">
        <v>251</v>
      </c>
      <c r="I19" s="261" t="s">
        <v>252</v>
      </c>
      <c r="J19" s="260" t="s">
        <v>13</v>
      </c>
      <c r="K19" s="181"/>
      <c r="L19" s="181"/>
      <c r="M19" s="181"/>
    </row>
    <row r="20" spans="2:13" ht="30" x14ac:dyDescent="0.25">
      <c r="B20" s="263">
        <v>1100</v>
      </c>
      <c r="C20" s="210" t="s">
        <v>259</v>
      </c>
      <c r="D20" s="330" t="s">
        <v>1157</v>
      </c>
      <c r="E20" s="264" t="s">
        <v>253</v>
      </c>
      <c r="F20" s="265">
        <v>1250</v>
      </c>
      <c r="G20" s="266">
        <f t="shared" ref="G20:G25" si="4">F20/21/8</f>
        <v>7.4404761904761907</v>
      </c>
      <c r="H20" s="267">
        <f t="shared" ref="H20:H25" si="5">G20/60</f>
        <v>0.12400793650793651</v>
      </c>
      <c r="I20" s="259">
        <v>29.5</v>
      </c>
      <c r="J20" s="246">
        <f t="shared" ref="J20:J25" si="6">I20*H20</f>
        <v>3.658234126984127</v>
      </c>
      <c r="K20" s="262" t="s">
        <v>238</v>
      </c>
      <c r="L20" s="483">
        <f>SUM(J20:J24)</f>
        <v>15.230654761904761</v>
      </c>
      <c r="M20" s="181" t="s">
        <v>262</v>
      </c>
    </row>
    <row r="21" spans="2:13" ht="15.75" x14ac:dyDescent="0.25">
      <c r="B21" s="263">
        <v>1100</v>
      </c>
      <c r="C21" s="210" t="s">
        <v>261</v>
      </c>
      <c r="D21" s="243" t="s">
        <v>228</v>
      </c>
      <c r="E21" s="264" t="s">
        <v>253</v>
      </c>
      <c r="F21" s="334">
        <v>1583</v>
      </c>
      <c r="G21" s="266">
        <f t="shared" si="4"/>
        <v>9.4226190476190474</v>
      </c>
      <c r="H21" s="267">
        <f t="shared" si="5"/>
        <v>0.15704365079365079</v>
      </c>
      <c r="I21" s="259">
        <v>10</v>
      </c>
      <c r="J21" s="246">
        <f t="shared" si="6"/>
        <v>1.5704365079365079</v>
      </c>
      <c r="K21" s="262" t="s">
        <v>238</v>
      </c>
      <c r="L21" s="181"/>
      <c r="M21" s="181"/>
    </row>
    <row r="22" spans="2:13" ht="15.75" x14ac:dyDescent="0.25">
      <c r="B22" s="263">
        <v>1100</v>
      </c>
      <c r="C22" s="210" t="s">
        <v>260</v>
      </c>
      <c r="D22" s="243" t="s">
        <v>228</v>
      </c>
      <c r="E22" s="264" t="s">
        <v>253</v>
      </c>
      <c r="F22" s="334">
        <v>1583</v>
      </c>
      <c r="G22" s="266">
        <f t="shared" si="4"/>
        <v>9.4226190476190474</v>
      </c>
      <c r="H22" s="267">
        <f t="shared" si="5"/>
        <v>0.15704365079365079</v>
      </c>
      <c r="I22" s="259">
        <v>10</v>
      </c>
      <c r="J22" s="246">
        <f t="shared" si="6"/>
        <v>1.5704365079365079</v>
      </c>
      <c r="K22" s="262" t="s">
        <v>238</v>
      </c>
      <c r="L22" s="181"/>
      <c r="M22" s="181"/>
    </row>
    <row r="23" spans="2:13" ht="15.75" x14ac:dyDescent="0.25">
      <c r="B23" s="263">
        <v>1100</v>
      </c>
      <c r="C23" s="210" t="s">
        <v>258</v>
      </c>
      <c r="D23" s="243" t="s">
        <v>228</v>
      </c>
      <c r="E23" s="264" t="s">
        <v>253</v>
      </c>
      <c r="F23" s="334">
        <v>1583</v>
      </c>
      <c r="G23" s="266">
        <f t="shared" si="4"/>
        <v>9.4226190476190474</v>
      </c>
      <c r="H23" s="267">
        <f t="shared" si="5"/>
        <v>0.15704365079365079</v>
      </c>
      <c r="I23" s="259">
        <v>30</v>
      </c>
      <c r="J23" s="246">
        <f t="shared" si="6"/>
        <v>4.7113095238095237</v>
      </c>
      <c r="K23" s="262" t="s">
        <v>238</v>
      </c>
      <c r="L23" s="181"/>
      <c r="M23" s="181"/>
    </row>
    <row r="24" spans="2:13" ht="15.75" x14ac:dyDescent="0.25">
      <c r="B24" s="263">
        <v>1100</v>
      </c>
      <c r="C24" s="263" t="s">
        <v>255</v>
      </c>
      <c r="D24" s="264" t="s">
        <v>256</v>
      </c>
      <c r="E24" s="264" t="s">
        <v>257</v>
      </c>
      <c r="F24" s="265">
        <v>1250</v>
      </c>
      <c r="G24" s="266">
        <f t="shared" si="4"/>
        <v>7.4404761904761907</v>
      </c>
      <c r="H24" s="267">
        <f t="shared" si="5"/>
        <v>0.12400793650793651</v>
      </c>
      <c r="I24" s="259">
        <v>30</v>
      </c>
      <c r="J24" s="246">
        <f t="shared" si="6"/>
        <v>3.7202380952380953</v>
      </c>
      <c r="K24" s="262" t="s">
        <v>238</v>
      </c>
      <c r="L24" s="181"/>
      <c r="M24" s="181"/>
    </row>
    <row r="25" spans="2:13" ht="15.75" x14ac:dyDescent="0.25">
      <c r="B25" s="263">
        <v>1100</v>
      </c>
      <c r="C25" s="263" t="s">
        <v>249</v>
      </c>
      <c r="D25" s="243" t="s">
        <v>212</v>
      </c>
      <c r="E25" s="264" t="s">
        <v>248</v>
      </c>
      <c r="F25" s="265">
        <v>1340</v>
      </c>
      <c r="G25" s="266">
        <f t="shared" si="4"/>
        <v>7.9761904761904763</v>
      </c>
      <c r="H25" s="267">
        <f t="shared" si="5"/>
        <v>0.13293650793650794</v>
      </c>
      <c r="I25" s="259">
        <v>5</v>
      </c>
      <c r="J25" s="246">
        <f t="shared" si="6"/>
        <v>0.66468253968253965</v>
      </c>
      <c r="K25" s="234" t="s">
        <v>237</v>
      </c>
      <c r="L25" s="181"/>
      <c r="M25" s="181"/>
    </row>
    <row r="27" spans="2:13" x14ac:dyDescent="0.25">
      <c r="B27" s="134"/>
      <c r="C27" s="461"/>
      <c r="D27" s="134"/>
      <c r="E27" s="65"/>
      <c r="F27" s="65"/>
      <c r="G27" s="65"/>
    </row>
    <row r="28" spans="2:13" x14ac:dyDescent="0.25">
      <c r="B28" s="134"/>
      <c r="C28" s="461"/>
      <c r="D28" s="134"/>
      <c r="E28" s="65"/>
      <c r="F28" s="65"/>
      <c r="G28" s="65"/>
    </row>
  </sheetData>
  <mergeCells count="2">
    <mergeCell ref="C2:G2"/>
    <mergeCell ref="B18:C18"/>
  </mergeCells>
  <conditionalFormatting sqref="B13">
    <cfRule type="duplicateValues" dxfId="5" priority="1"/>
  </conditionalFormatting>
  <conditionalFormatting sqref="B14">
    <cfRule type="duplicateValues" dxfId="4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24._aprēķins</vt:lpstr>
      <vt:lpstr>1.1.-1.4._21.Dati_LDT</vt:lpstr>
      <vt:lpstr>2.1.-2.2. Izmaksas_Autostavl.</vt:lpstr>
      <vt:lpstr>2.1.-2.2. Proporcijas aprēķins</vt:lpstr>
      <vt:lpstr>3. Tirdzn.v.atlauja-izmaksas</vt:lpstr>
      <vt:lpstr>4. Bites-izmaksas</vt:lpstr>
      <vt:lpstr>7.1. Telpas_izmaksas_PRA</vt:lpstr>
      <vt:lpstr>7.2._Telpas_izmaksas_VRA</vt:lpstr>
      <vt:lpstr>7.3.Telpas_izmaksas_LRA</vt:lpstr>
      <vt:lpstr>7.4.Telpas_izmaksas_Sigulda</vt:lpstr>
      <vt:lpstr>14.1.-14.3.apreķini</vt:lpstr>
      <vt:lpstr>9.1.-9.4.DIC_izmaksas</vt:lpstr>
      <vt:lpstr>10.-11.Eksperta_izmaksas</vt:lpstr>
      <vt:lpstr>12.ĪPN_liguma_izmaksas</vt:lpstr>
      <vt:lpstr>13.Aprēķini_elektrouzlādei</vt:lpstr>
      <vt:lpstr>14.1.-14.3.proporcija</vt:lpstr>
      <vt:lpstr>2.3._LDT_Kemperis izmaksas</vt:lpstr>
      <vt:lpstr>15.Aprēķini</vt:lpstr>
      <vt:lpstr>5.3. Telpas Ļaudona-izmaksas</vt:lpstr>
      <vt:lpstr>20.</vt:lpstr>
      <vt:lpstr>18.-20.Aprēķini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Opermane</dc:creator>
  <cp:lastModifiedBy>Andris Soms</cp:lastModifiedBy>
  <cp:lastPrinted>2025-10-15T10:49:25Z</cp:lastPrinted>
  <dcterms:created xsi:type="dcterms:W3CDTF">2022-05-20T12:29:49Z</dcterms:created>
  <dcterms:modified xsi:type="dcterms:W3CDTF">2026-04-08T12:59:30Z</dcterms:modified>
</cp:coreProperties>
</file>